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45366189aca044/NEW FOLDER SYSTEM/Naples Bay Yacht Stowage Condo/Budgets/"/>
    </mc:Choice>
  </mc:AlternateContent>
  <xr:revisionPtr revIDLastSave="1020" documentId="8_{88684879-6C5B-4165-8C4D-01981E1DC191}" xr6:coauthVersionLast="46" xr6:coauthVersionMax="46" xr10:uidLastSave="{3487CDBD-265B-475A-86E1-84071F40BA56}"/>
  <bookViews>
    <workbookView xWindow="-120" yWindow="-120" windowWidth="29040" windowHeight="15840" xr2:uid="{16581680-0607-4023-9E80-3725B04D0E02}"/>
  </bookViews>
  <sheets>
    <sheet name="Operating Budget" sheetId="1" r:id="rId1"/>
    <sheet name="Notes" sheetId="6" r:id="rId2"/>
    <sheet name="Services" sheetId="4" r:id="rId3"/>
    <sheet name="Rental" sheetId="5" r:id="rId4"/>
    <sheet name="Reserve Schedule" sheetId="3" r:id="rId5"/>
    <sheet name="Payroll" sheetId="2" r:id="rId6"/>
  </sheets>
  <definedNames>
    <definedName name="_xlnm.Print_Area" localSheetId="0">'Operating Budget'!$A$1:$L$77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1" i="1"/>
  <c r="J30" i="1"/>
  <c r="F5" i="1"/>
  <c r="E5" i="1"/>
  <c r="D5" i="1"/>
  <c r="C5" i="3"/>
  <c r="J46" i="1" l="1"/>
  <c r="J47" i="1"/>
  <c r="J43" i="1"/>
  <c r="I8" i="2" l="1"/>
  <c r="F3" i="2"/>
  <c r="I3" i="2"/>
  <c r="H5" i="2" l="1"/>
  <c r="H6" i="2"/>
  <c r="H3" i="2"/>
  <c r="F5" i="2"/>
  <c r="F6" i="2"/>
  <c r="D4" i="2"/>
  <c r="D5" i="2"/>
  <c r="D6" i="2"/>
  <c r="D3" i="2"/>
  <c r="H4" i="2" l="1"/>
  <c r="F4" i="2"/>
  <c r="N5" i="4"/>
  <c r="N6" i="4"/>
  <c r="N7" i="4"/>
  <c r="N3" i="4"/>
  <c r="D77" i="1" l="1"/>
  <c r="D76" i="1"/>
  <c r="E75" i="1"/>
  <c r="D75" i="1"/>
  <c r="J16" i="1"/>
  <c r="J54" i="1"/>
  <c r="A1" i="1"/>
  <c r="A1" i="3" s="1"/>
  <c r="D15" i="3"/>
  <c r="C15" i="3"/>
  <c r="H6" i="3"/>
  <c r="H7" i="3"/>
  <c r="H8" i="3"/>
  <c r="H9" i="3"/>
  <c r="H10" i="3"/>
  <c r="H11" i="3"/>
  <c r="H12" i="3"/>
  <c r="H5" i="3"/>
  <c r="E6" i="3"/>
  <c r="E7" i="3"/>
  <c r="E8" i="3"/>
  <c r="E9" i="3"/>
  <c r="E10" i="3"/>
  <c r="E11" i="3"/>
  <c r="E12" i="3"/>
  <c r="E5" i="3"/>
  <c r="H4" i="3"/>
  <c r="D4" i="3"/>
  <c r="G33" i="1"/>
  <c r="H33" i="1"/>
  <c r="E6" i="1"/>
  <c r="E15" i="3" l="1"/>
  <c r="H15" i="3"/>
  <c r="J70" i="1" s="1"/>
  <c r="J36" i="1"/>
  <c r="J35" i="1"/>
  <c r="K10" i="2"/>
  <c r="L10" i="2"/>
  <c r="I4" i="2"/>
  <c r="J4" i="2" s="1"/>
  <c r="I5" i="2"/>
  <c r="J5" i="2" s="1"/>
  <c r="I6" i="2"/>
  <c r="J6" i="2" s="1"/>
  <c r="F48" i="1"/>
  <c r="G48" i="1"/>
  <c r="H48" i="1"/>
  <c r="J48" i="1"/>
  <c r="F39" i="1"/>
  <c r="F71" i="1" s="1"/>
  <c r="G39" i="1"/>
  <c r="G71" i="1" s="1"/>
  <c r="H39" i="1"/>
  <c r="H71" i="1" s="1"/>
  <c r="J2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2" i="1"/>
  <c r="I63" i="1"/>
  <c r="I64" i="1"/>
  <c r="I65" i="1"/>
  <c r="I66" i="1"/>
  <c r="I67" i="1"/>
  <c r="I68" i="1"/>
  <c r="I69" i="1"/>
  <c r="I70" i="1"/>
  <c r="I15" i="1"/>
  <c r="I6" i="1"/>
  <c r="I7" i="1"/>
  <c r="I8" i="1"/>
  <c r="I9" i="1"/>
  <c r="I11" i="1"/>
  <c r="I12" i="1"/>
  <c r="I5" i="1"/>
  <c r="E48" i="1"/>
  <c r="D48" i="1"/>
  <c r="E39" i="1"/>
  <c r="D39" i="1"/>
  <c r="D71" i="1" s="1"/>
  <c r="E13" i="1"/>
  <c r="F13" i="1"/>
  <c r="G13" i="1"/>
  <c r="H13" i="1"/>
  <c r="D13" i="1"/>
  <c r="I2" i="1"/>
  <c r="D2" i="1"/>
  <c r="D73" i="1" l="1"/>
  <c r="I48" i="1"/>
  <c r="J38" i="1"/>
  <c r="J3" i="2"/>
  <c r="J8" i="2"/>
  <c r="J10" i="2" s="1"/>
  <c r="J33" i="1" s="1"/>
  <c r="J37" i="1"/>
  <c r="I10" i="2"/>
  <c r="F73" i="1"/>
  <c r="G73" i="1"/>
  <c r="E71" i="1"/>
  <c r="E73" i="1" s="1"/>
  <c r="I39" i="1"/>
  <c r="I71" i="1" s="1"/>
  <c r="H73" i="1"/>
  <c r="J39" i="1"/>
  <c r="J71" i="1" s="1"/>
  <c r="I13" i="1"/>
  <c r="I73" i="1" l="1"/>
  <c r="J13" i="1" l="1"/>
  <c r="J73" i="1" s="1"/>
  <c r="E76" i="1"/>
  <c r="E77" i="1" s="1"/>
</calcChain>
</file>

<file path=xl/sharedStrings.xml><?xml version="1.0" encoding="utf-8"?>
<sst xmlns="http://schemas.openxmlformats.org/spreadsheetml/2006/main" count="182" uniqueCount="139">
  <si>
    <t>Current Year</t>
  </si>
  <si>
    <t># of units</t>
  </si>
  <si>
    <t>Jan - Sep 20</t>
  </si>
  <si>
    <t>Oct</t>
  </si>
  <si>
    <t>Nov</t>
  </si>
  <si>
    <t>Dec</t>
  </si>
  <si>
    <t>NOTES</t>
  </si>
  <si>
    <t>Budget Year</t>
  </si>
  <si>
    <t>150</t>
  </si>
  <si>
    <t>Status</t>
  </si>
  <si>
    <t>Adopted Budget</t>
  </si>
  <si>
    <t>Income</t>
  </si>
  <si>
    <t>400 · Maintenance/Reserves Assessments</t>
  </si>
  <si>
    <t>show oper/reserve income</t>
  </si>
  <si>
    <t>403 · discounts</t>
  </si>
  <si>
    <t>405 · Rental Fees</t>
  </si>
  <si>
    <t>407 · Services</t>
  </si>
  <si>
    <t>420 · Late Fees</t>
  </si>
  <si>
    <t>421 · Use of Surplus Funds</t>
  </si>
  <si>
    <t>470 · Application Fees</t>
  </si>
  <si>
    <t>490.05 · Interest Income</t>
  </si>
  <si>
    <t>Total Income</t>
  </si>
  <si>
    <t>Expense</t>
  </si>
  <si>
    <t>550 · Legal</t>
  </si>
  <si>
    <t xml:space="preserve"> </t>
  </si>
  <si>
    <t>560 · Management fees</t>
  </si>
  <si>
    <t>KPG</t>
  </si>
  <si>
    <t>570 · Accounting</t>
  </si>
  <si>
    <t>572 · appraisal</t>
  </si>
  <si>
    <t>605 · Advertising</t>
  </si>
  <si>
    <t>610 · Office Supplies</t>
  </si>
  <si>
    <t>612 · Bank Service Charges</t>
  </si>
  <si>
    <t>614 · Bad Debt Expense</t>
  </si>
  <si>
    <t>616 · Credit Card Fees</t>
  </si>
  <si>
    <t>619 · Contingency Expense</t>
  </si>
  <si>
    <t>623 · Income Taxes</t>
  </si>
  <si>
    <t>625 · Postage and Delivery</t>
  </si>
  <si>
    <t>626 · Printing and Reproduction</t>
  </si>
  <si>
    <t>630 · Division Fees</t>
  </si>
  <si>
    <t>637 · Travel &amp; Ent</t>
  </si>
  <si>
    <t>640 · Repairs &amp; maint - genl</t>
  </si>
  <si>
    <t>650 · Security</t>
  </si>
  <si>
    <t>655 · Payroll Expenses</t>
  </si>
  <si>
    <t>660 · Taxes-FICA</t>
  </si>
  <si>
    <t>See payroll tab</t>
  </si>
  <si>
    <t>661 · Mileage Reimbursement</t>
  </si>
  <si>
    <t>662 · Taxes-FUTA</t>
  </si>
  <si>
    <t>664 · Taxes-SUTA</t>
  </si>
  <si>
    <t>694 · Manager Wages</t>
  </si>
  <si>
    <t>695 · Wages</t>
  </si>
  <si>
    <t>Total 655 · Payroll Expenses</t>
  </si>
  <si>
    <t>667 · Employee qualifying</t>
  </si>
  <si>
    <t>680 · Uniforms</t>
  </si>
  <si>
    <t>700 · Insurance</t>
  </si>
  <si>
    <t>703 · Emp. Health Ins.</t>
  </si>
  <si>
    <t>704 · Directors &amp; Officers Insurance</t>
  </si>
  <si>
    <t>708 · Workers Comp Insurance</t>
  </si>
  <si>
    <t>709 · Wind Insurance</t>
  </si>
  <si>
    <t>710 · Property Ins.</t>
  </si>
  <si>
    <t>Total 700 · Insurance</t>
  </si>
  <si>
    <t>740 · Dock Repairs &amp; Maint</t>
  </si>
  <si>
    <t>760 · Equipment Maintenance</t>
  </si>
  <si>
    <t>780 · Fire Equipment Maintenance</t>
  </si>
  <si>
    <t>785 · Fire Alarm monitoring</t>
  </si>
  <si>
    <t>790 · Fork Lift Repairs</t>
  </si>
  <si>
    <t>795 · Fork Lift Loan</t>
  </si>
  <si>
    <t>$3223.28 per month</t>
  </si>
  <si>
    <t>810 · Lawn and Landscaping</t>
  </si>
  <si>
    <t>880 · Pool Maintenance</t>
  </si>
  <si>
    <t>900 · Electricity</t>
  </si>
  <si>
    <t>905 · Lift Fuel/Grease</t>
  </si>
  <si>
    <t>915 · Property Taxes - Unit S-2</t>
  </si>
  <si>
    <t>920 · Telephone Expense</t>
  </si>
  <si>
    <t>921 · S Slip Fees</t>
  </si>
  <si>
    <t>930 · Trash Removal</t>
  </si>
  <si>
    <t>940 · Water and Sewer</t>
  </si>
  <si>
    <t>970 · Damages</t>
  </si>
  <si>
    <t>976 · Interest Expense - Wiggins</t>
  </si>
  <si>
    <t>980 · Marina Supplies</t>
  </si>
  <si>
    <t>985 · Miscellaneous</t>
  </si>
  <si>
    <t>988 · Storage rental</t>
  </si>
  <si>
    <t>990 · Submerged Land Lease</t>
  </si>
  <si>
    <t>991 · Transfer to Reserves</t>
  </si>
  <si>
    <t>Total Expense</t>
  </si>
  <si>
    <t>Net Surplus(-Deficit)</t>
  </si>
  <si>
    <t>Annual Per Owner</t>
  </si>
  <si>
    <t>Quartelry Per Owner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</si>
  <si>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</si>
  <si>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</si>
  <si>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</si>
  <si>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</si>
  <si>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</si>
  <si>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</si>
  <si>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</si>
  <si>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</si>
  <si>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</si>
  <si>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</si>
  <si>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</si>
  <si>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</si>
  <si>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</si>
  <si>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</si>
  <si>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Reserve Schedule</t>
  </si>
  <si>
    <t>Account #</t>
  </si>
  <si>
    <t>Component</t>
  </si>
  <si>
    <t>Replacement Cost</t>
  </si>
  <si>
    <t>Unfunded Balance</t>
  </si>
  <si>
    <t>Useful Life</t>
  </si>
  <si>
    <t>Remaining Life</t>
  </si>
  <si>
    <t>Concrete/Paving</t>
  </si>
  <si>
    <t>Docks</t>
  </si>
  <si>
    <t>Forklifts**</t>
  </si>
  <si>
    <t>Painting Exterior</t>
  </si>
  <si>
    <t>Seawall/Prop/Bldg Repair*</t>
  </si>
  <si>
    <t>Roof</t>
  </si>
  <si>
    <t>Pool</t>
  </si>
  <si>
    <t>Clubhouse/Office/AC Unit</t>
  </si>
  <si>
    <t>Unallocated Interest</t>
  </si>
  <si>
    <t>*</t>
  </si>
  <si>
    <t>This is only funded from operatintg overage</t>
  </si>
  <si>
    <t>**</t>
  </si>
  <si>
    <t>Included $85K trade in value</t>
  </si>
  <si>
    <t>WAIVING OF RESERVES, IN WHOLE OR IN PART, OR ALLOWING ALTERNATIVE USES OF EXISTING RESERVES MAY RESULT IN UNIT OWNER LIABILITY FOR PAYMENT OF UNANTICIPATED SPECIAL ASSESSMENTS REGARDING THOSE ITEMS.</t>
  </si>
  <si>
    <t>Proposed Increase</t>
  </si>
  <si>
    <t>Current Hourly Rate</t>
  </si>
  <si>
    <t>New Rate</t>
  </si>
  <si>
    <t>Hours per Week</t>
  </si>
  <si>
    <t>Hourly Wages</t>
  </si>
  <si>
    <t>Annual OT Hours</t>
  </si>
  <si>
    <t>OT Wages</t>
  </si>
  <si>
    <t>Total Annyal Wages</t>
  </si>
  <si>
    <t>SS&amp;MC</t>
  </si>
  <si>
    <t>FUTA</t>
  </si>
  <si>
    <t>SUTA</t>
  </si>
  <si>
    <t>Aaron Jeffries</t>
  </si>
  <si>
    <t>David Irvin</t>
  </si>
  <si>
    <t>Shane Lawler</t>
  </si>
  <si>
    <t>Employee #4</t>
  </si>
  <si>
    <t>Charles Tozzi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</si>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</sst>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Calibri"/>
      <charset val="1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000000"/>
      <name val="Montserrat"/>
      <charset val="1"/>
    </font>
    <font>
      <sz val="11"/>
      <color rgb="FF000000"/>
      <name val="Calibri"/>
      <family val="2"/>
    </font>
    <font>
      <sz val="1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1" xfId="1" applyNumberFormat="1" applyFont="1" applyBorder="1" applyAlignment="1">
      <alignment horizontal="center" wrapText="1"/>
    </xf>
    <xf numFmtId="164" fontId="0" fillId="0" borderId="0" xfId="0" applyNumberFormat="1"/>
    <xf numFmtId="164" fontId="0" fillId="0" borderId="0" xfId="1" applyNumberFormat="1" applyFont="1" applyBorder="1" applyAlignment="1">
      <alignment horizontal="center" wrapText="1"/>
    </xf>
    <xf numFmtId="164" fontId="0" fillId="0" borderId="0" xfId="1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9" fontId="0" fillId="0" borderId="0" xfId="2" applyFont="1"/>
    <xf numFmtId="1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/>
    <xf numFmtId="0" fontId="2" fillId="0" borderId="0" xfId="0" quotePrefix="1" applyFont="1"/>
    <xf numFmtId="1" fontId="0" fillId="0" borderId="0" xfId="1" applyNumberFormat="1" applyFont="1"/>
    <xf numFmtId="49" fontId="0" fillId="0" borderId="0" xfId="0" applyNumberFormat="1" applyAlignment="1">
      <alignment horizontal="center" vertical="center"/>
    </xf>
    <xf numFmtId="164" fontId="4" fillId="0" borderId="0" xfId="1" applyNumberFormat="1" applyFont="1"/>
    <xf numFmtId="164" fontId="4" fillId="0" borderId="3" xfId="1" applyNumberFormat="1" applyFont="1" applyBorder="1"/>
    <xf numFmtId="165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0" fontId="0" fillId="0" borderId="0" xfId="0"/>
    <xf numFmtId="164" fontId="0" fillId="0" borderId="0" xfId="1" applyNumberFormat="1" applyFont="1" applyFill="1" applyBorder="1"/>
    <xf numFmtId="4" fontId="8" fillId="0" borderId="0" xfId="0" applyNumberFormat="1" applyFont="1"/>
    <xf numFmtId="0" fontId="0" fillId="0" borderId="0" xfId="0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3" borderId="0" xfId="0" applyFill="1"/>
    <xf numFmtId="164" fontId="0" fillId="3" borderId="0" xfId="1" applyNumberFormat="1" applyFont="1" applyFill="1"/>
  </cellXfs>
  <cellStyles count="4">
    <cellStyle name="Currency" xfId="1" builtinId="4"/>
    <cellStyle name="Normal" xfId="0" builtinId="0"/>
    <cellStyle name="Normal 2" xfId="3" xr:uid="{2DEDD133-529C-42B2-A81E-6B13347384E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Service Sales Per Year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Services!$B$2:$N$2</c15:sqref>
                  </c15:fullRef>
                </c:ext>
              </c:extLst>
              <c:f>Services!$B$2:$M$2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Services!$B$3:$N$3</c15:sqref>
                  </c15:fullRef>
                </c:ext>
              </c:extLst>
              <c:f>Services!$B$3:$M$3</c:f>
            </c:numRef>
          </c:val>
          <c:extLst>
            <c:ext xmlns:c16="http://schemas.microsoft.com/office/drawing/2014/chart" uri="{C3380CC4-5D6E-409C-BE32-E72D297353CC}">
              <c16:uniqueId val="{00000001-44BD-4E10-8D86-AA8E9A5F546F}"/>
            </c:ext>
          </c:extLst>
        </c:ser>
        <c:ser>
          <c:idx val="1"/>
          <c:order val="1"/>
          <c:tx>
            <c:v>2018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Services!$B$2:$N$2</c15:sqref>
                  </c15:fullRef>
                </c:ext>
              </c:extLst>
              <c:f>Services!$B$2:$M$2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Services!$B$5:$N$5</c15:sqref>
                  </c15:fullRef>
                </c:ext>
              </c:extLst>
              <c:f>Services!$B$5:$M$5</c:f>
              <c:numCache>
                <c:formatCode>_([$$-409]* #,##0_);_([$$-409]* \(#,##0\);_([$$-409]* "-"??_);_(@_)</c:formatCode>
                <c:ptCount val="12"/>
                <c:pt idx="0">
                  <c:v>1117.5</c:v>
                </c:pt>
                <c:pt idx="1">
                  <c:v>1807.5</c:v>
                </c:pt>
                <c:pt idx="2">
                  <c:v>702.5</c:v>
                </c:pt>
                <c:pt idx="3">
                  <c:v>1872.5</c:v>
                </c:pt>
                <c:pt idx="4">
                  <c:v>1122</c:v>
                </c:pt>
                <c:pt idx="5">
                  <c:v>1722.5</c:v>
                </c:pt>
                <c:pt idx="6">
                  <c:v>3653</c:v>
                </c:pt>
                <c:pt idx="7">
                  <c:v>1703.5</c:v>
                </c:pt>
                <c:pt idx="8">
                  <c:v>1726.27</c:v>
                </c:pt>
                <c:pt idx="9">
                  <c:v>787.5</c:v>
                </c:pt>
                <c:pt idx="10">
                  <c:v>1866.5</c:v>
                </c:pt>
                <c:pt idx="11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D-4E10-8D86-AA8E9A5F546F}"/>
            </c:ext>
          </c:extLst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Services!$B$2:$N$2</c15:sqref>
                  </c15:fullRef>
                </c:ext>
              </c:extLst>
              <c:f>Services!$B$2:$M$2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Services!$B$6:$N$6</c15:sqref>
                  </c15:fullRef>
                </c:ext>
              </c:extLst>
              <c:f>Services!$B$6:$M$6</c:f>
              <c:numCache>
                <c:formatCode>_([$$-409]* #,##0_);_([$$-409]* \(#,##0\);_([$$-409]* "-"??_);_(@_)</c:formatCode>
                <c:ptCount val="12"/>
                <c:pt idx="0">
                  <c:v>1320</c:v>
                </c:pt>
                <c:pt idx="1">
                  <c:v>2036</c:v>
                </c:pt>
                <c:pt idx="2">
                  <c:v>4414.5</c:v>
                </c:pt>
                <c:pt idx="3">
                  <c:v>8081.99</c:v>
                </c:pt>
                <c:pt idx="4">
                  <c:v>2397.4</c:v>
                </c:pt>
                <c:pt idx="5">
                  <c:v>2820</c:v>
                </c:pt>
                <c:pt idx="6">
                  <c:v>2407.4</c:v>
                </c:pt>
                <c:pt idx="7">
                  <c:v>1521.5</c:v>
                </c:pt>
                <c:pt idx="8">
                  <c:v>2434.9699999999998</c:v>
                </c:pt>
                <c:pt idx="9">
                  <c:v>2099.5</c:v>
                </c:pt>
                <c:pt idx="10">
                  <c:v>1519.46</c:v>
                </c:pt>
                <c:pt idx="11">
                  <c:v>2064.9499999999998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BD-4E10-8D86-AA8E9A5F546F}"/>
            </c:ext>
          </c:extLst>
        </c:ser>
        <c:ser>
          <c:idx val="3"/>
          <c:order val="3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Services!$B$2:$N$2</c15:sqref>
                  </c15:fullRef>
                </c:ext>
              </c:extLst>
              <c:f>Services!$B$2:$M$2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Services!$B$7:$N$7</c15:sqref>
                  </c15:fullRef>
                </c:ext>
              </c:extLst>
              <c:f>Services!$B$7:$M$7</c:f>
              <c:numCache>
                <c:formatCode>_([$$-409]* #,##0_);_([$$-409]* \(#,##0\);_([$$-409]* "-"??_);_(@_)</c:formatCode>
                <c:ptCount val="12"/>
                <c:pt idx="0">
                  <c:v>3199.5</c:v>
                </c:pt>
                <c:pt idx="1">
                  <c:v>5630</c:v>
                </c:pt>
                <c:pt idx="2">
                  <c:v>1074.8</c:v>
                </c:pt>
                <c:pt idx="3">
                  <c:v>745</c:v>
                </c:pt>
                <c:pt idx="4">
                  <c:v>3168</c:v>
                </c:pt>
                <c:pt idx="5">
                  <c:v>1971</c:v>
                </c:pt>
                <c:pt idx="6">
                  <c:v>820</c:v>
                </c:pt>
                <c:pt idx="7">
                  <c:v>4248.62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D-4E10-8D86-AA8E9A5F5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30"/>
        <c:axId val="37512984"/>
        <c:axId val="37513816"/>
      </c:barChart>
      <c:catAx>
        <c:axId val="37512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13816"/>
        <c:crosses val="autoZero"/>
        <c:auto val="1"/>
        <c:lblAlgn val="ctr"/>
        <c:lblOffset val="100"/>
        <c:noMultiLvlLbl val="0"/>
      </c:catAx>
      <c:valAx>
        <c:axId val="3751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1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Rent Commissions Per Month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Rental!$A$1:$M$1</c15:sqref>
                  </c15:fullRef>
                </c:ext>
              </c:extLst>
              <c:f>Rental!$B$1:$M$1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Rental!$A$2:$M$2</c15:sqref>
                  </c15:fullRef>
                </c:ext>
              </c:extLst>
              <c:f>Rental!$B$2:$M$2</c:f>
              <c:numCache>
                <c:formatCode>_("$"* #,##0_);_("$"* \(#,##0\);_("$"* "-"??_);_(@_)</c:formatCode>
                <c:ptCount val="12"/>
                <c:pt idx="0">
                  <c:v>3645.5</c:v>
                </c:pt>
                <c:pt idx="1">
                  <c:v>3515</c:v>
                </c:pt>
                <c:pt idx="2">
                  <c:v>5013.1000000000004</c:v>
                </c:pt>
                <c:pt idx="3">
                  <c:v>6208.91</c:v>
                </c:pt>
                <c:pt idx="4">
                  <c:v>2330</c:v>
                </c:pt>
                <c:pt idx="5">
                  <c:v>3128.5</c:v>
                </c:pt>
                <c:pt idx="6">
                  <c:v>1650</c:v>
                </c:pt>
                <c:pt idx="7">
                  <c:v>2712.5</c:v>
                </c:pt>
                <c:pt idx="8">
                  <c:v>3373</c:v>
                </c:pt>
                <c:pt idx="9">
                  <c:v>4042.55</c:v>
                </c:pt>
                <c:pt idx="10">
                  <c:v>2743.65</c:v>
                </c:pt>
                <c:pt idx="11">
                  <c:v>4355.87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7-4DF4-AC72-1E34B97308D5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Rental!$A$1:$M$1</c15:sqref>
                  </c15:fullRef>
                </c:ext>
              </c:extLst>
              <c:f>Rental!$B$1:$M$1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Rental!$A$3:$M$3</c15:sqref>
                  </c15:fullRef>
                </c:ext>
              </c:extLst>
              <c:f>Rental!$B$3:$M$3</c:f>
              <c:numCache>
                <c:formatCode>_("$"* #,##0_);_("$"* \(#,##0\);_("$"* "-"??_);_(@_)</c:formatCode>
                <c:ptCount val="12"/>
                <c:pt idx="0">
                  <c:v>3857.6</c:v>
                </c:pt>
                <c:pt idx="1">
                  <c:v>3998.5</c:v>
                </c:pt>
                <c:pt idx="2">
                  <c:v>3988</c:v>
                </c:pt>
                <c:pt idx="3">
                  <c:v>2725</c:v>
                </c:pt>
                <c:pt idx="4">
                  <c:v>3735</c:v>
                </c:pt>
                <c:pt idx="5">
                  <c:v>5408.5</c:v>
                </c:pt>
                <c:pt idx="6">
                  <c:v>4336.82</c:v>
                </c:pt>
                <c:pt idx="7">
                  <c:v>3434.06</c:v>
                </c:pt>
                <c:pt idx="8">
                  <c:v>4443</c:v>
                </c:pt>
                <c:pt idx="9">
                  <c:v>4250</c:v>
                </c:pt>
                <c:pt idx="10">
                  <c:v>3528.5</c:v>
                </c:pt>
                <c:pt idx="11">
                  <c:v>4795.5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7-4DF4-AC72-1E34B97308D5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Rental!$A$1:$M$1</c15:sqref>
                  </c15:fullRef>
                </c:ext>
              </c:extLst>
              <c:f>Rental!$B$1:$M$1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Rental!$A$4:$M$4</c15:sqref>
                  </c15:fullRef>
                </c:ext>
              </c:extLst>
              <c:f>Rental!$B$4:$M$4</c:f>
              <c:numCache>
                <c:formatCode>_("$"* #,##0_);_("$"* \(#,##0\);_("$"* "-"??_);_(@_)</c:formatCode>
                <c:ptCount val="12"/>
                <c:pt idx="0">
                  <c:v>4462</c:v>
                </c:pt>
                <c:pt idx="1">
                  <c:v>4832</c:v>
                </c:pt>
                <c:pt idx="2">
                  <c:v>3469.91</c:v>
                </c:pt>
                <c:pt idx="3">
                  <c:v>4062.48</c:v>
                </c:pt>
                <c:pt idx="4">
                  <c:v>3720.5</c:v>
                </c:pt>
                <c:pt idx="5">
                  <c:v>4075</c:v>
                </c:pt>
                <c:pt idx="6">
                  <c:v>3197.5</c:v>
                </c:pt>
                <c:pt idx="7">
                  <c:v>3643</c:v>
                </c:pt>
                <c:pt idx="8">
                  <c:v>3334.01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67-4DF4-AC72-1E34B9730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763224"/>
        <c:axId val="446767160"/>
      </c:barChart>
      <c:catAx>
        <c:axId val="44676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767160"/>
        <c:crosses val="autoZero"/>
        <c:auto val="1"/>
        <c:lblAlgn val="ctr"/>
        <c:lblOffset val="100"/>
        <c:noMultiLvlLbl val="0"/>
      </c:catAx>
      <c:valAx>
        <c:axId val="44676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76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Rental</a:t>
            </a:r>
            <a:r>
              <a:rPr lang="en-US" baseline="0"/>
              <a:t> Sales Per Month</a:t>
            </a: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Rental!$A$33:$M$33</c15:sqref>
                  </c15:fullRef>
                </c:ext>
              </c:extLst>
              <c:f>Rental!$B$33:$M$33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Rental!$A$34:$M$34</c15:sqref>
                  </c15:fullRef>
                </c:ext>
              </c:extLst>
              <c:f>Rental!$B$34:$M$34</c:f>
              <c:numCache>
                <c:formatCode>_("$"* #,##0_);_("$"* \(#,##0\);_("$"* "-"??_);_(@_)</c:formatCode>
                <c:ptCount val="12"/>
                <c:pt idx="0">
                  <c:v>38805</c:v>
                </c:pt>
                <c:pt idx="1">
                  <c:v>36055</c:v>
                </c:pt>
                <c:pt idx="2">
                  <c:v>40055</c:v>
                </c:pt>
                <c:pt idx="3">
                  <c:v>43580</c:v>
                </c:pt>
                <c:pt idx="4">
                  <c:v>45630</c:v>
                </c:pt>
                <c:pt idx="5">
                  <c:v>32705</c:v>
                </c:pt>
                <c:pt idx="6">
                  <c:v>32490</c:v>
                </c:pt>
                <c:pt idx="7">
                  <c:v>30615</c:v>
                </c:pt>
                <c:pt idx="8">
                  <c:v>29020</c:v>
                </c:pt>
                <c:pt idx="9">
                  <c:v>35032.5</c:v>
                </c:pt>
                <c:pt idx="10">
                  <c:v>37295</c:v>
                </c:pt>
                <c:pt idx="11">
                  <c:v>33795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5-4853-9FC2-23311D95EC08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Rental!$A$33:$M$33</c15:sqref>
                  </c15:fullRef>
                </c:ext>
              </c:extLst>
              <c:f>Rental!$B$33:$M$33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Rental!$A$35:$M$35</c15:sqref>
                  </c15:fullRef>
                </c:ext>
              </c:extLst>
              <c:f>Rental!$B$35:$M$35</c:f>
              <c:numCache>
                <c:formatCode>_("$"* #,##0_);_("$"* \(#,##0\);_("$"* "-"??_);_(@_)</c:formatCode>
                <c:ptCount val="12"/>
                <c:pt idx="0">
                  <c:v>34645</c:v>
                </c:pt>
                <c:pt idx="1">
                  <c:v>36545</c:v>
                </c:pt>
                <c:pt idx="2">
                  <c:v>33610</c:v>
                </c:pt>
                <c:pt idx="3">
                  <c:v>38655</c:v>
                </c:pt>
                <c:pt idx="4">
                  <c:v>38155</c:v>
                </c:pt>
                <c:pt idx="5">
                  <c:v>45080</c:v>
                </c:pt>
                <c:pt idx="6">
                  <c:v>35288.480000000003</c:v>
                </c:pt>
                <c:pt idx="7">
                  <c:v>38655</c:v>
                </c:pt>
                <c:pt idx="8">
                  <c:v>39430</c:v>
                </c:pt>
                <c:pt idx="9" formatCode="#,##0.00">
                  <c:v>42780</c:v>
                </c:pt>
                <c:pt idx="10" formatCode="#,##0.00">
                  <c:v>37580</c:v>
                </c:pt>
                <c:pt idx="11" formatCode="#,##0.00">
                  <c:v>32470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5-4853-9FC2-23311D95EC08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Rental!$A$33:$M$33</c15:sqref>
                  </c15:fullRef>
                </c:ext>
              </c:extLst>
              <c:f>Rental!$B$33:$M$33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Rental!$A$36:$M$36</c15:sqref>
                  </c15:fullRef>
                </c:ext>
              </c:extLst>
              <c:f>Rental!$B$36:$M$36</c:f>
              <c:numCache>
                <c:formatCode>_("$"* #,##0_);_("$"* \(#,##0\);_("$"* "-"??_);_(@_)</c:formatCode>
                <c:ptCount val="12"/>
                <c:pt idx="0">
                  <c:v>39920</c:v>
                </c:pt>
                <c:pt idx="1" formatCode="General">
                  <c:v>51643</c:v>
                </c:pt>
                <c:pt idx="2">
                  <c:v>32820</c:v>
                </c:pt>
                <c:pt idx="3">
                  <c:v>36599.96</c:v>
                </c:pt>
                <c:pt idx="4">
                  <c:v>32455</c:v>
                </c:pt>
                <c:pt idx="5">
                  <c:v>39810</c:v>
                </c:pt>
                <c:pt idx="6">
                  <c:v>33940</c:v>
                </c:pt>
                <c:pt idx="7">
                  <c:v>34055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5-4853-9FC2-23311D95E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763224"/>
        <c:axId val="446767160"/>
      </c:barChart>
      <c:catAx>
        <c:axId val="44676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767160"/>
        <c:crosses val="autoZero"/>
        <c:auto val="1"/>
        <c:lblAlgn val="ctr"/>
        <c:lblOffset val="100"/>
        <c:noMultiLvlLbl val="0"/>
      </c:catAx>
      <c:valAx>
        <c:axId val="44676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76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10</xdr:row>
      <xdr:rowOff>38100</xdr:rowOff>
    </xdr:from>
    <xdr:to>
      <xdr:col>13</xdr:col>
      <xdr:colOff>581024</xdr:colOff>
      <xdr:row>32</xdr:row>
      <xdr:rowOff>152400</xdr:rowOff>
    </xdr:to>
    <xdr:graphicFrame macro="">
      <xdr:nvGraphicFramePr>
        <xdr:cNvPr id="7" name="Chart 6" descr="Chart type: Clustered Column. Multiple values by 'Year'&#10;&#10;Description automatically generated">
          <a:extLst>
            <a:ext uri="{FF2B5EF4-FFF2-40B4-BE49-F238E27FC236}">
              <a16:creationId xmlns:a16="http://schemas.microsoft.com/office/drawing/2014/main" id="{07546002-2864-4788-8D5D-AE47BC1936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76200</xdr:rowOff>
    </xdr:from>
    <xdr:to>
      <xdr:col>13</xdr:col>
      <xdr:colOff>590550</xdr:colOff>
      <xdr:row>29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6943A4-3F14-43FD-B2A4-FD5D37C2B5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36</xdr:row>
      <xdr:rowOff>47625</xdr:rowOff>
    </xdr:from>
    <xdr:to>
      <xdr:col>14</xdr:col>
      <xdr:colOff>9525</xdr:colOff>
      <xdr:row>58</xdr:row>
      <xdr:rowOff>133350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BA40A8E3-75F9-41BE-9E41-6ABB52958D64}"/>
            </a:ext>
            <a:ext uri="{147F2762-F138-4A5C-976F-8EAC2B608ADB}">
              <a16:predDERef xmlns:a16="http://schemas.microsoft.com/office/drawing/2014/main" pred="{906943A4-3F14-43FD-B2A4-FD5D37C2B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B623-8070-4D2C-ACBA-A1AE62A109E6}">
  <dimension ref="A1:P79"/>
  <sheetViews>
    <sheetView tabSelected="1" topLeftCell="A42" zoomScaleNormal="100" workbookViewId="0">
      <selection activeCell="M67" sqref="M67"/>
    </sheetView>
  </sheetViews>
  <sheetFormatPr defaultRowHeight="15"/>
  <cols>
    <col min="1" max="2" width="3" customWidth="1"/>
    <col min="3" max="3" width="32.42578125" customWidth="1"/>
    <col min="4" max="5" width="11.42578125" style="4" customWidth="1"/>
    <col min="6" max="9" width="11.42578125" customWidth="1"/>
    <col min="10" max="10" width="10.7109375" style="4" bestFit="1" customWidth="1"/>
    <col min="11" max="11" width="22.42578125" customWidth="1"/>
    <col min="12" max="12" width="3.28515625" customWidth="1"/>
    <col min="13" max="13" width="10" customWidth="1"/>
    <col min="14" max="14" width="12" bestFit="1" customWidth="1"/>
    <col min="15" max="15" width="16.28515625" bestFit="1" customWidth="1"/>
  </cols>
  <sheetData>
    <row r="1" spans="1:16" ht="23.25">
      <c r="A1" s="36" t="str">
        <f>"Naples Bay Yacht Stowage Condo Association, Inc. "&amp;O2&amp;" "&amp;O3</f>
        <v>Naples Bay Yacht Stowage Condo Association, Inc. 2021 Adopted Budget</v>
      </c>
      <c r="B1" s="36"/>
      <c r="C1" s="36"/>
      <c r="D1" s="36"/>
      <c r="E1" s="36"/>
      <c r="F1" s="36"/>
      <c r="G1" s="36"/>
      <c r="H1" s="36"/>
      <c r="I1" s="36"/>
      <c r="J1" s="36"/>
      <c r="K1" s="32"/>
      <c r="L1" s="32"/>
      <c r="M1" s="32"/>
      <c r="N1" s="32" t="s">
        <v>0</v>
      </c>
      <c r="O1" s="12">
        <v>2020</v>
      </c>
      <c r="P1" s="32"/>
    </row>
    <row r="2" spans="1:16" s="3" customFormat="1" ht="51" customHeight="1">
      <c r="A2" s="2"/>
      <c r="B2" s="2"/>
      <c r="C2" s="8" t="s">
        <v>1</v>
      </c>
      <c r="D2" s="8" t="str">
        <f>O1&amp;" Annual Budget"</f>
        <v>2020 Annual Budget</v>
      </c>
      <c r="E2" s="8" t="s">
        <v>2</v>
      </c>
      <c r="F2" s="8" t="s">
        <v>3</v>
      </c>
      <c r="G2" s="8" t="s">
        <v>4</v>
      </c>
      <c r="H2" s="8" t="s">
        <v>5</v>
      </c>
      <c r="I2" s="8" t="str">
        <f>O1&amp;" Estimated Total"</f>
        <v>2020 Estimated Total</v>
      </c>
      <c r="J2" s="8" t="str">
        <f>O2&amp;" "&amp;O3</f>
        <v>2021 Adopted Budget</v>
      </c>
      <c r="K2" s="8" t="s">
        <v>6</v>
      </c>
      <c r="L2" s="10"/>
      <c r="M2" s="10"/>
      <c r="N2" s="3" t="s">
        <v>7</v>
      </c>
      <c r="O2" s="13">
        <v>2021</v>
      </c>
    </row>
    <row r="3" spans="1:16">
      <c r="A3" s="1"/>
      <c r="B3" s="1"/>
      <c r="C3" s="27" t="s">
        <v>8</v>
      </c>
      <c r="F3" s="32"/>
      <c r="G3" s="32"/>
      <c r="H3" s="32"/>
      <c r="I3" s="32"/>
      <c r="K3" s="32"/>
      <c r="L3" s="32"/>
      <c r="M3" s="32"/>
      <c r="N3" s="32" t="s">
        <v>9</v>
      </c>
      <c r="O3" s="12" t="s">
        <v>10</v>
      </c>
      <c r="P3" s="32"/>
    </row>
    <row r="4" spans="1:16">
      <c r="A4" s="1" t="s">
        <v>11</v>
      </c>
      <c r="B4" s="1"/>
      <c r="C4" s="1"/>
      <c r="F4" s="32"/>
      <c r="G4" s="32"/>
      <c r="H4" s="32"/>
      <c r="I4" s="32"/>
      <c r="K4" s="32"/>
      <c r="L4" s="32"/>
      <c r="M4" s="32"/>
      <c r="N4" s="32"/>
      <c r="O4" s="32"/>
      <c r="P4" s="32"/>
    </row>
    <row r="5" spans="1:16">
      <c r="A5" s="1"/>
      <c r="B5" s="1" t="s">
        <v>12</v>
      </c>
      <c r="C5" s="1"/>
      <c r="D5" s="4">
        <f>455309+45913</f>
        <v>501222</v>
      </c>
      <c r="E5" s="4">
        <f>341482+34435</f>
        <v>375917</v>
      </c>
      <c r="F5" s="32">
        <f>37942+11478</f>
        <v>49420</v>
      </c>
      <c r="G5" s="32">
        <v>37492</v>
      </c>
      <c r="H5" s="32">
        <v>37492</v>
      </c>
      <c r="I5" s="9">
        <f>SUM(E5:H5)</f>
        <v>500321</v>
      </c>
      <c r="J5" s="4">
        <f>J71-J6-J7-J8-J9-J11-J12-J10</f>
        <v>501681.43330999999</v>
      </c>
      <c r="K5" s="32" t="s">
        <v>13</v>
      </c>
      <c r="L5" s="32"/>
      <c r="M5" s="32"/>
      <c r="N5" s="32"/>
      <c r="O5" s="9"/>
      <c r="P5" s="32"/>
    </row>
    <row r="6" spans="1:16">
      <c r="A6" s="1"/>
      <c r="B6" s="1" t="s">
        <v>14</v>
      </c>
      <c r="C6" s="1"/>
      <c r="D6" s="4">
        <v>300</v>
      </c>
      <c r="E6" s="4">
        <f>210-135</f>
        <v>75</v>
      </c>
      <c r="F6" s="32">
        <v>30</v>
      </c>
      <c r="G6" s="32"/>
      <c r="H6" s="32"/>
      <c r="I6" s="9">
        <f t="shared" ref="I6:I12" si="0">SUM(E6:H6)</f>
        <v>105</v>
      </c>
      <c r="J6" s="4">
        <v>0</v>
      </c>
      <c r="K6" s="32"/>
      <c r="L6" s="32"/>
      <c r="M6" s="32"/>
      <c r="N6" s="32"/>
      <c r="O6" s="32"/>
      <c r="P6" s="32"/>
    </row>
    <row r="7" spans="1:16">
      <c r="A7" s="1"/>
      <c r="B7" s="1" t="s">
        <v>15</v>
      </c>
      <c r="C7" s="1"/>
      <c r="D7" s="4">
        <v>45000</v>
      </c>
      <c r="E7" s="4">
        <v>34796</v>
      </c>
      <c r="F7" s="32">
        <v>4602</v>
      </c>
      <c r="G7" s="32">
        <v>4600</v>
      </c>
      <c r="H7" s="32">
        <v>4600</v>
      </c>
      <c r="I7" s="9">
        <f t="shared" si="0"/>
        <v>48598</v>
      </c>
      <c r="J7" s="4">
        <v>45000</v>
      </c>
      <c r="K7" s="32"/>
      <c r="L7" s="32"/>
      <c r="M7" s="32"/>
      <c r="N7" s="32"/>
      <c r="O7" s="26"/>
      <c r="P7" s="26"/>
    </row>
    <row r="8" spans="1:16">
      <c r="A8" s="1"/>
      <c r="B8" s="1" t="s">
        <v>16</v>
      </c>
      <c r="C8" s="1"/>
      <c r="D8" s="4">
        <v>35000</v>
      </c>
      <c r="E8" s="4">
        <v>21157</v>
      </c>
      <c r="F8" s="32">
        <v>2405</v>
      </c>
      <c r="G8" s="32">
        <v>2000</v>
      </c>
      <c r="H8" s="32">
        <v>2000</v>
      </c>
      <c r="I8" s="9">
        <f t="shared" si="0"/>
        <v>27562</v>
      </c>
      <c r="J8" s="4">
        <v>35000</v>
      </c>
      <c r="K8" s="32"/>
      <c r="L8" s="32"/>
      <c r="M8" s="32"/>
      <c r="N8" s="32"/>
      <c r="O8" s="4"/>
      <c r="P8" s="4"/>
    </row>
    <row r="9" spans="1:16">
      <c r="A9" s="1"/>
      <c r="B9" s="1" t="s">
        <v>17</v>
      </c>
      <c r="C9" s="1"/>
      <c r="D9" s="4">
        <v>2000</v>
      </c>
      <c r="E9" s="4">
        <v>356</v>
      </c>
      <c r="F9" s="32">
        <v>72</v>
      </c>
      <c r="G9" s="32">
        <v>0</v>
      </c>
      <c r="H9" s="32">
        <v>0</v>
      </c>
      <c r="I9" s="9">
        <f t="shared" si="0"/>
        <v>428</v>
      </c>
      <c r="J9" s="4">
        <v>0</v>
      </c>
      <c r="K9" s="32"/>
      <c r="L9" s="32"/>
      <c r="M9" s="32"/>
      <c r="N9" s="32"/>
      <c r="O9" s="4"/>
      <c r="P9" s="4"/>
    </row>
    <row r="10" spans="1:16" s="32" customFormat="1">
      <c r="A10" s="1"/>
      <c r="B10" s="1" t="s">
        <v>18</v>
      </c>
      <c r="C10" s="1"/>
      <c r="D10" s="4"/>
      <c r="E10" s="4"/>
      <c r="I10" s="9"/>
      <c r="J10" s="4">
        <v>3344</v>
      </c>
      <c r="O10" s="4"/>
      <c r="P10" s="4"/>
    </row>
    <row r="11" spans="1:16">
      <c r="A11" s="1"/>
      <c r="B11" s="1" t="s">
        <v>19</v>
      </c>
      <c r="C11" s="1"/>
      <c r="D11" s="4">
        <v>4300</v>
      </c>
      <c r="E11" s="4">
        <v>1800</v>
      </c>
      <c r="F11" s="32">
        <v>65</v>
      </c>
      <c r="G11" s="32">
        <v>0</v>
      </c>
      <c r="H11" s="32">
        <v>0</v>
      </c>
      <c r="I11" s="9">
        <f t="shared" si="0"/>
        <v>1865</v>
      </c>
      <c r="J11" s="4">
        <v>2000</v>
      </c>
      <c r="K11" s="32"/>
      <c r="L11" s="32"/>
      <c r="M11" s="32"/>
      <c r="N11" s="32"/>
      <c r="O11" s="32"/>
      <c r="P11" s="32"/>
    </row>
    <row r="12" spans="1:16" ht="15.75" thickBot="1">
      <c r="A12" s="1"/>
      <c r="B12" s="1" t="s">
        <v>20</v>
      </c>
      <c r="C12" s="1"/>
      <c r="D12" s="4">
        <v>100</v>
      </c>
      <c r="E12" s="4">
        <v>212</v>
      </c>
      <c r="F12" s="32">
        <v>0</v>
      </c>
      <c r="G12" s="32">
        <v>0</v>
      </c>
      <c r="H12" s="32">
        <v>0</v>
      </c>
      <c r="I12" s="9">
        <f t="shared" si="0"/>
        <v>212</v>
      </c>
      <c r="J12" s="4">
        <v>0</v>
      </c>
      <c r="K12" s="32"/>
      <c r="L12" s="32"/>
      <c r="M12" s="32"/>
      <c r="N12" s="32"/>
      <c r="O12" s="32"/>
      <c r="P12" s="25"/>
    </row>
    <row r="13" spans="1:16" ht="15.75" thickBot="1">
      <c r="A13" s="1" t="s">
        <v>21</v>
      </c>
      <c r="B13" s="1"/>
      <c r="C13" s="1"/>
      <c r="D13" s="5">
        <f>SUM(D5:D12)</f>
        <v>587922</v>
      </c>
      <c r="E13" s="5">
        <f t="shared" ref="E13:J13" si="1">SUM(E5:E12)</f>
        <v>434313</v>
      </c>
      <c r="F13" s="5">
        <f t="shared" si="1"/>
        <v>56594</v>
      </c>
      <c r="G13" s="5">
        <f t="shared" si="1"/>
        <v>44092</v>
      </c>
      <c r="H13" s="5">
        <f t="shared" si="1"/>
        <v>44092</v>
      </c>
      <c r="I13" s="5">
        <f t="shared" si="1"/>
        <v>579091</v>
      </c>
      <c r="J13" s="5">
        <f t="shared" si="1"/>
        <v>587025.43330999999</v>
      </c>
      <c r="K13" s="11"/>
      <c r="L13" s="11"/>
      <c r="M13" s="11"/>
      <c r="N13" s="32"/>
      <c r="O13" s="32"/>
      <c r="P13" s="32"/>
    </row>
    <row r="14" spans="1:16">
      <c r="A14" s="1" t="s">
        <v>22</v>
      </c>
      <c r="B14" s="1"/>
      <c r="C14" s="1"/>
      <c r="F14" s="32"/>
      <c r="G14" s="32"/>
      <c r="H14" s="32"/>
      <c r="I14" s="32"/>
      <c r="K14" s="32"/>
      <c r="L14" s="32"/>
      <c r="M14" s="32"/>
      <c r="N14" s="32"/>
      <c r="O14" s="32"/>
      <c r="P14" s="32"/>
    </row>
    <row r="15" spans="1:16">
      <c r="A15" s="1"/>
      <c r="B15" s="1" t="s">
        <v>23</v>
      </c>
      <c r="C15" s="1"/>
      <c r="D15" s="4">
        <v>5000</v>
      </c>
      <c r="E15" s="4">
        <v>5881</v>
      </c>
      <c r="F15" s="32">
        <v>161</v>
      </c>
      <c r="G15" s="32">
        <v>350</v>
      </c>
      <c r="H15" s="32">
        <v>350</v>
      </c>
      <c r="I15" s="9">
        <f>SUM(E15:H15)</f>
        <v>6742</v>
      </c>
      <c r="J15" s="4">
        <v>4000</v>
      </c>
      <c r="K15" s="32"/>
      <c r="L15" s="32"/>
      <c r="M15" s="32"/>
      <c r="N15" s="32"/>
      <c r="O15" s="32" t="s">
        <v>24</v>
      </c>
      <c r="P15" s="32"/>
    </row>
    <row r="16" spans="1:16">
      <c r="A16" s="1"/>
      <c r="B16" s="1" t="s">
        <v>25</v>
      </c>
      <c r="C16" s="1"/>
      <c r="D16" s="4">
        <v>32782</v>
      </c>
      <c r="E16" s="4">
        <v>20727</v>
      </c>
      <c r="F16" s="32">
        <v>833</v>
      </c>
      <c r="G16" s="32">
        <v>775</v>
      </c>
      <c r="H16" s="32">
        <v>775</v>
      </c>
      <c r="I16" s="9">
        <f t="shared" ref="I16:I70" si="2">SUM(E16:H16)</f>
        <v>23110</v>
      </c>
      <c r="J16" s="4">
        <f>775*12</f>
        <v>9300</v>
      </c>
      <c r="K16" s="32" t="s">
        <v>26</v>
      </c>
      <c r="L16" s="32"/>
      <c r="M16" s="32"/>
      <c r="N16" s="32"/>
      <c r="O16" s="32"/>
      <c r="P16" s="32"/>
    </row>
    <row r="17" spans="1:16">
      <c r="A17" s="1"/>
      <c r="B17" s="1" t="s">
        <v>27</v>
      </c>
      <c r="C17" s="1"/>
      <c r="D17" s="4">
        <v>6500</v>
      </c>
      <c r="E17" s="4">
        <v>0</v>
      </c>
      <c r="F17" s="32">
        <v>3775</v>
      </c>
      <c r="G17" s="32">
        <v>6500</v>
      </c>
      <c r="H17" s="32"/>
      <c r="I17" s="9">
        <f t="shared" si="2"/>
        <v>10275</v>
      </c>
      <c r="J17" s="4">
        <v>6000</v>
      </c>
      <c r="K17" s="32"/>
      <c r="L17" s="32"/>
      <c r="M17" s="32"/>
      <c r="N17" s="32"/>
      <c r="O17" s="32"/>
      <c r="P17" s="32"/>
    </row>
    <row r="18" spans="1:16">
      <c r="A18" s="1"/>
      <c r="B18" s="1" t="s">
        <v>28</v>
      </c>
      <c r="C18" s="1"/>
      <c r="D18" s="4">
        <v>250</v>
      </c>
      <c r="E18" s="4">
        <v>0</v>
      </c>
      <c r="F18" s="32">
        <v>300</v>
      </c>
      <c r="G18" s="32">
        <v>0</v>
      </c>
      <c r="H18" s="32">
        <v>0</v>
      </c>
      <c r="I18" s="9">
        <f t="shared" si="2"/>
        <v>300</v>
      </c>
      <c r="J18" s="4">
        <v>300</v>
      </c>
      <c r="K18" s="32"/>
      <c r="L18" s="32"/>
      <c r="M18" s="32"/>
      <c r="N18" s="32"/>
      <c r="O18" s="32"/>
      <c r="P18" s="32"/>
    </row>
    <row r="19" spans="1:16">
      <c r="A19" s="1"/>
      <c r="B19" s="1" t="s">
        <v>29</v>
      </c>
      <c r="C19" s="1"/>
      <c r="D19" s="4">
        <v>1000</v>
      </c>
      <c r="E19" s="4">
        <v>414</v>
      </c>
      <c r="F19" s="32">
        <v>25</v>
      </c>
      <c r="G19" s="32">
        <v>200</v>
      </c>
      <c r="H19" s="32">
        <v>300</v>
      </c>
      <c r="I19" s="9">
        <f t="shared" si="2"/>
        <v>939</v>
      </c>
      <c r="J19" s="4">
        <v>1200</v>
      </c>
      <c r="K19" s="32"/>
      <c r="L19" s="32"/>
      <c r="M19" s="32"/>
      <c r="N19" s="32"/>
      <c r="O19" s="32"/>
      <c r="P19" s="32"/>
    </row>
    <row r="20" spans="1:16">
      <c r="A20" s="1"/>
      <c r="B20" s="1" t="s">
        <v>30</v>
      </c>
      <c r="C20" s="1"/>
      <c r="D20" s="4">
        <v>2500</v>
      </c>
      <c r="E20" s="4">
        <v>3024</v>
      </c>
      <c r="F20" s="32">
        <v>194</v>
      </c>
      <c r="G20" s="32">
        <v>100</v>
      </c>
      <c r="H20" s="32">
        <v>100</v>
      </c>
      <c r="I20" s="9">
        <f t="shared" si="2"/>
        <v>3418</v>
      </c>
      <c r="J20" s="4">
        <v>2500</v>
      </c>
      <c r="K20" s="32"/>
      <c r="L20" s="32"/>
      <c r="M20" s="32"/>
      <c r="N20" s="32"/>
      <c r="O20" s="32"/>
      <c r="P20" s="32"/>
    </row>
    <row r="21" spans="1:16">
      <c r="A21" s="1"/>
      <c r="B21" s="1" t="s">
        <v>31</v>
      </c>
      <c r="C21" s="1"/>
      <c r="E21" s="4">
        <v>109</v>
      </c>
      <c r="F21" s="32">
        <v>20</v>
      </c>
      <c r="G21" s="32">
        <v>25</v>
      </c>
      <c r="H21" s="32">
        <v>25</v>
      </c>
      <c r="I21" s="9">
        <f t="shared" si="2"/>
        <v>179</v>
      </c>
      <c r="J21" s="4">
        <v>0</v>
      </c>
      <c r="K21" s="32"/>
      <c r="L21" s="32"/>
      <c r="M21" s="32"/>
      <c r="N21" s="32"/>
      <c r="O21" s="32"/>
      <c r="P21" s="32"/>
    </row>
    <row r="22" spans="1:16">
      <c r="A22" s="1"/>
      <c r="B22" s="1" t="s">
        <v>32</v>
      </c>
      <c r="C22" s="1"/>
      <c r="D22" s="4">
        <v>500</v>
      </c>
      <c r="E22" s="4">
        <v>675</v>
      </c>
      <c r="F22" s="32">
        <v>0</v>
      </c>
      <c r="G22" s="32">
        <v>0</v>
      </c>
      <c r="H22" s="32">
        <v>0</v>
      </c>
      <c r="I22" s="9">
        <f t="shared" si="2"/>
        <v>675</v>
      </c>
      <c r="J22" s="4">
        <v>0</v>
      </c>
      <c r="K22" s="32"/>
      <c r="L22" s="32"/>
      <c r="M22" s="32"/>
      <c r="N22" s="32"/>
      <c r="O22" s="32"/>
      <c r="P22" s="32"/>
    </row>
    <row r="23" spans="1:16">
      <c r="A23" s="1"/>
      <c r="B23" s="1" t="s">
        <v>33</v>
      </c>
      <c r="C23" s="1"/>
      <c r="D23" s="4">
        <v>1800</v>
      </c>
      <c r="E23" s="4">
        <v>1139</v>
      </c>
      <c r="F23" s="32">
        <v>114</v>
      </c>
      <c r="G23" s="32">
        <v>100</v>
      </c>
      <c r="H23" s="32">
        <v>100</v>
      </c>
      <c r="I23" s="9">
        <f t="shared" si="2"/>
        <v>1453</v>
      </c>
      <c r="J23" s="4">
        <v>1500</v>
      </c>
      <c r="K23" s="32"/>
      <c r="L23" s="32"/>
      <c r="M23" s="32"/>
      <c r="N23" s="32"/>
      <c r="O23" s="32"/>
      <c r="P23" s="32"/>
    </row>
    <row r="24" spans="1:16">
      <c r="A24" s="1"/>
      <c r="B24" s="1" t="s">
        <v>34</v>
      </c>
      <c r="C24" s="1"/>
      <c r="D24" s="4">
        <v>2500</v>
      </c>
      <c r="E24" s="4">
        <v>0</v>
      </c>
      <c r="F24" s="32">
        <v>0</v>
      </c>
      <c r="G24" s="32">
        <v>0</v>
      </c>
      <c r="H24" s="32">
        <v>0</v>
      </c>
      <c r="I24" s="9">
        <f t="shared" si="2"/>
        <v>0</v>
      </c>
      <c r="J24" s="4">
        <v>1500</v>
      </c>
      <c r="K24" s="32"/>
      <c r="L24" s="32"/>
      <c r="M24" s="32"/>
      <c r="N24" s="32"/>
      <c r="O24" s="32"/>
      <c r="P24" s="32"/>
    </row>
    <row r="25" spans="1:16">
      <c r="A25" s="1"/>
      <c r="B25" s="1" t="s">
        <v>35</v>
      </c>
      <c r="C25" s="1"/>
      <c r="D25" s="4">
        <v>3500</v>
      </c>
      <c r="E25" s="4">
        <v>0</v>
      </c>
      <c r="F25" s="32">
        <v>0</v>
      </c>
      <c r="G25" s="32">
        <v>0</v>
      </c>
      <c r="H25" s="32">
        <v>4000</v>
      </c>
      <c r="I25" s="9">
        <f t="shared" si="2"/>
        <v>4000</v>
      </c>
      <c r="J25" s="4">
        <v>4000</v>
      </c>
      <c r="K25" s="32"/>
      <c r="L25" s="32"/>
      <c r="M25" s="32"/>
      <c r="N25" s="32"/>
      <c r="O25" s="32"/>
      <c r="P25" s="32"/>
    </row>
    <row r="26" spans="1:16">
      <c r="A26" s="1"/>
      <c r="B26" s="1" t="s">
        <v>36</v>
      </c>
      <c r="C26" s="1"/>
      <c r="D26" s="4">
        <v>1500</v>
      </c>
      <c r="E26" s="4">
        <v>788</v>
      </c>
      <c r="F26" s="32">
        <v>16</v>
      </c>
      <c r="G26" s="32">
        <v>0</v>
      </c>
      <c r="H26" s="32">
        <v>0</v>
      </c>
      <c r="I26" s="9">
        <f t="shared" si="2"/>
        <v>804</v>
      </c>
      <c r="J26" s="4">
        <v>1500</v>
      </c>
      <c r="K26" s="32"/>
      <c r="L26" s="32"/>
      <c r="M26" s="32"/>
      <c r="N26" s="32"/>
      <c r="O26" s="32"/>
      <c r="P26" s="32"/>
    </row>
    <row r="27" spans="1:16">
      <c r="A27" s="1"/>
      <c r="B27" s="1" t="s">
        <v>37</v>
      </c>
      <c r="C27" s="1"/>
      <c r="E27" s="4">
        <v>144</v>
      </c>
      <c r="F27" s="32">
        <v>0</v>
      </c>
      <c r="G27" s="32">
        <v>0</v>
      </c>
      <c r="H27" s="32">
        <v>0</v>
      </c>
      <c r="I27" s="9">
        <f t="shared" si="2"/>
        <v>144</v>
      </c>
      <c r="J27" s="4">
        <v>0</v>
      </c>
      <c r="K27" s="32"/>
      <c r="L27" s="32"/>
      <c r="M27" s="32"/>
      <c r="N27" s="32"/>
      <c r="O27" s="32"/>
      <c r="P27" s="32"/>
    </row>
    <row r="28" spans="1:16">
      <c r="A28" s="1"/>
      <c r="B28" s="1" t="s">
        <v>38</v>
      </c>
      <c r="C28" s="1"/>
      <c r="D28" s="4">
        <v>450</v>
      </c>
      <c r="E28" s="4">
        <v>61</v>
      </c>
      <c r="F28" s="32">
        <v>0</v>
      </c>
      <c r="G28" s="32">
        <v>390</v>
      </c>
      <c r="H28" s="32">
        <v>0</v>
      </c>
      <c r="I28" s="9">
        <f t="shared" si="2"/>
        <v>451</v>
      </c>
      <c r="J28" s="4">
        <v>450</v>
      </c>
      <c r="K28" s="32"/>
      <c r="L28" s="32"/>
      <c r="M28" s="32"/>
      <c r="N28" s="32"/>
      <c r="O28" s="32"/>
      <c r="P28" s="32"/>
    </row>
    <row r="29" spans="1:16">
      <c r="A29" s="1"/>
      <c r="B29" s="1" t="s">
        <v>39</v>
      </c>
      <c r="C29" s="1"/>
      <c r="D29" s="4">
        <v>200</v>
      </c>
      <c r="E29" s="4">
        <v>234</v>
      </c>
      <c r="F29" s="32">
        <v>0</v>
      </c>
      <c r="G29" s="32">
        <v>0</v>
      </c>
      <c r="H29" s="32">
        <v>0</v>
      </c>
      <c r="I29" s="9">
        <f t="shared" si="2"/>
        <v>234</v>
      </c>
      <c r="J29" s="4">
        <v>200</v>
      </c>
      <c r="K29" s="32"/>
      <c r="L29" s="32"/>
      <c r="M29" s="32"/>
      <c r="N29" s="32"/>
      <c r="O29" s="32"/>
      <c r="P29" s="32"/>
    </row>
    <row r="30" spans="1:16">
      <c r="A30" s="1"/>
      <c r="B30" s="1" t="s">
        <v>40</v>
      </c>
      <c r="C30" s="1"/>
      <c r="D30" s="4">
        <v>12000</v>
      </c>
      <c r="E30" s="4">
        <v>6332</v>
      </c>
      <c r="F30" s="32">
        <v>343</v>
      </c>
      <c r="G30" s="32">
        <v>2000</v>
      </c>
      <c r="H30" s="32">
        <v>2000</v>
      </c>
      <c r="I30" s="9">
        <f t="shared" si="2"/>
        <v>10675</v>
      </c>
      <c r="J30" s="4">
        <f>12000+2665</f>
        <v>14665</v>
      </c>
      <c r="K30" s="32"/>
      <c r="L30" s="32"/>
      <c r="M30" s="32"/>
      <c r="N30" s="32"/>
      <c r="O30" s="32"/>
      <c r="P30" s="32"/>
    </row>
    <row r="31" spans="1:16">
      <c r="A31" s="1"/>
      <c r="B31" s="1" t="s">
        <v>41</v>
      </c>
      <c r="C31" s="1"/>
      <c r="D31" s="4">
        <v>2500</v>
      </c>
      <c r="E31" s="4">
        <v>234</v>
      </c>
      <c r="F31" s="32">
        <v>258</v>
      </c>
      <c r="G31" s="32">
        <v>0</v>
      </c>
      <c r="H31" s="32">
        <v>0</v>
      </c>
      <c r="I31" s="9">
        <f t="shared" si="2"/>
        <v>492</v>
      </c>
      <c r="J31" s="4">
        <v>2500</v>
      </c>
      <c r="K31" s="32"/>
      <c r="L31" s="32"/>
      <c r="M31" s="32"/>
      <c r="N31" s="32"/>
      <c r="O31" s="32"/>
      <c r="P31" s="32"/>
    </row>
    <row r="32" spans="1:16">
      <c r="A32" s="1"/>
      <c r="B32" s="1" t="s">
        <v>42</v>
      </c>
      <c r="C32" s="1"/>
      <c r="F32" s="32"/>
      <c r="G32" s="32"/>
      <c r="H32" s="32"/>
      <c r="I32" s="9">
        <f t="shared" si="2"/>
        <v>0</v>
      </c>
      <c r="K32" s="32"/>
      <c r="L32" s="32"/>
      <c r="M32" s="32"/>
      <c r="N32" s="32"/>
      <c r="O32" s="32"/>
      <c r="P32" s="32"/>
    </row>
    <row r="33" spans="1:16">
      <c r="A33" s="1"/>
      <c r="B33" s="1"/>
      <c r="C33" s="1" t="s">
        <v>43</v>
      </c>
      <c r="D33" s="4">
        <v>18000</v>
      </c>
      <c r="E33" s="4">
        <v>15222</v>
      </c>
      <c r="F33" s="17">
        <v>1734</v>
      </c>
      <c r="G33" s="17">
        <f>(G37+G38)*0.0765</f>
        <v>1341.6569999999999</v>
      </c>
      <c r="H33" s="17">
        <f>(H37+H38)*0.0765</f>
        <v>1341.6569999999999</v>
      </c>
      <c r="I33" s="9">
        <f t="shared" si="2"/>
        <v>19639.313999999998</v>
      </c>
      <c r="J33" s="28">
        <f>Payroll!J10</f>
        <v>19191.266212499999</v>
      </c>
      <c r="K33" s="32" t="s">
        <v>44</v>
      </c>
      <c r="L33" s="32"/>
      <c r="M33" s="32"/>
      <c r="N33" s="32"/>
      <c r="O33" s="32"/>
      <c r="P33" s="32"/>
    </row>
    <row r="34" spans="1:16">
      <c r="A34" s="1"/>
      <c r="B34" s="1"/>
      <c r="C34" s="1" t="s">
        <v>45</v>
      </c>
      <c r="E34" s="4">
        <v>55</v>
      </c>
      <c r="F34" s="32">
        <v>44</v>
      </c>
      <c r="G34" s="32">
        <v>50</v>
      </c>
      <c r="H34" s="32">
        <v>50</v>
      </c>
      <c r="I34" s="9">
        <f t="shared" si="2"/>
        <v>199</v>
      </c>
      <c r="J34" s="28">
        <v>400</v>
      </c>
      <c r="K34" s="32"/>
      <c r="L34" s="32"/>
      <c r="M34" s="32"/>
      <c r="N34" s="32"/>
      <c r="O34" s="32"/>
      <c r="P34" s="32"/>
    </row>
    <row r="35" spans="1:16">
      <c r="A35" s="1"/>
      <c r="B35" s="1"/>
      <c r="C35" s="1" t="s">
        <v>46</v>
      </c>
      <c r="D35" s="4">
        <v>350</v>
      </c>
      <c r="E35" s="4">
        <v>353</v>
      </c>
      <c r="F35" s="32">
        <v>16</v>
      </c>
      <c r="G35" s="32">
        <v>0</v>
      </c>
      <c r="H35" s="32">
        <v>0</v>
      </c>
      <c r="I35" s="9">
        <f t="shared" si="2"/>
        <v>369</v>
      </c>
      <c r="J35" s="28">
        <f>Payroll!K10</f>
        <v>210</v>
      </c>
      <c r="K35" s="32" t="s">
        <v>44</v>
      </c>
      <c r="L35" s="32"/>
      <c r="M35" s="32"/>
      <c r="N35" s="32"/>
      <c r="O35" s="32"/>
      <c r="P35" s="32"/>
    </row>
    <row r="36" spans="1:16">
      <c r="A36" s="1"/>
      <c r="B36" s="1"/>
      <c r="C36" s="1" t="s">
        <v>47</v>
      </c>
      <c r="D36" s="4">
        <v>1500</v>
      </c>
      <c r="E36" s="4">
        <v>87</v>
      </c>
      <c r="F36" s="32">
        <v>3</v>
      </c>
      <c r="G36" s="32">
        <v>0</v>
      </c>
      <c r="H36" s="32">
        <v>0</v>
      </c>
      <c r="I36" s="9">
        <f t="shared" si="2"/>
        <v>90</v>
      </c>
      <c r="J36" s="28">
        <f>Payroll!L10</f>
        <v>75</v>
      </c>
      <c r="K36" s="32" t="s">
        <v>44</v>
      </c>
      <c r="L36" s="32"/>
      <c r="M36" s="32"/>
      <c r="N36" s="32"/>
      <c r="O36" s="32"/>
      <c r="P36" s="32"/>
    </row>
    <row r="37" spans="1:16">
      <c r="A37" s="1"/>
      <c r="B37" s="1"/>
      <c r="C37" s="1" t="s">
        <v>48</v>
      </c>
      <c r="D37" s="4">
        <v>0</v>
      </c>
      <c r="E37" s="4">
        <v>43164</v>
      </c>
      <c r="F37" s="32">
        <v>8173</v>
      </c>
      <c r="G37" s="32">
        <v>6538</v>
      </c>
      <c r="H37" s="32">
        <v>6538</v>
      </c>
      <c r="I37" s="9">
        <f t="shared" si="2"/>
        <v>64413</v>
      </c>
      <c r="J37" s="28">
        <f>Payroll!I8</f>
        <v>85000</v>
      </c>
      <c r="K37" s="32" t="s">
        <v>44</v>
      </c>
      <c r="L37" s="32"/>
      <c r="M37" s="32"/>
      <c r="N37" s="32"/>
      <c r="O37" s="32"/>
      <c r="P37" s="32"/>
    </row>
    <row r="38" spans="1:16" ht="15.75" thickBot="1">
      <c r="A38" s="1"/>
      <c r="B38" s="1"/>
      <c r="C38" s="1" t="s">
        <v>49</v>
      </c>
      <c r="D38" s="6">
        <v>250000</v>
      </c>
      <c r="E38" s="6">
        <v>149528</v>
      </c>
      <c r="F38" s="14">
        <v>13488</v>
      </c>
      <c r="G38" s="14">
        <v>11000</v>
      </c>
      <c r="H38" s="14">
        <v>11000</v>
      </c>
      <c r="I38" s="15">
        <f t="shared" si="2"/>
        <v>185016</v>
      </c>
      <c r="J38" s="29">
        <f>Payroll!I3+Payroll!I4+Payroll!I5+Payroll!I6</f>
        <v>165866.22500000001</v>
      </c>
      <c r="K38" s="32" t="s">
        <v>44</v>
      </c>
      <c r="L38" s="32"/>
      <c r="M38" s="32"/>
      <c r="N38" s="32"/>
      <c r="O38" s="32"/>
      <c r="P38" s="32"/>
    </row>
    <row r="39" spans="1:16">
      <c r="A39" s="1"/>
      <c r="B39" s="1" t="s">
        <v>50</v>
      </c>
      <c r="C39" s="1"/>
      <c r="D39" s="4">
        <f>SUM(D33:D38)</f>
        <v>269850</v>
      </c>
      <c r="E39" s="4">
        <f t="shared" ref="E39" si="3">SUM(E33:E38)</f>
        <v>208409</v>
      </c>
      <c r="F39" s="4">
        <f t="shared" ref="F39" si="4">SUM(F33:F38)</f>
        <v>23458</v>
      </c>
      <c r="G39" s="4">
        <f t="shared" ref="G39" si="5">SUM(G33:G38)</f>
        <v>18929.656999999999</v>
      </c>
      <c r="H39" s="4">
        <f t="shared" ref="H39" si="6">SUM(H33:H38)</f>
        <v>18929.656999999999</v>
      </c>
      <c r="I39" s="4">
        <f t="shared" ref="I39" si="7">SUM(I33:I38)</f>
        <v>269726.31400000001</v>
      </c>
      <c r="J39" s="4">
        <f t="shared" ref="J39" si="8">SUM(J33:J38)</f>
        <v>270742.49121250003</v>
      </c>
      <c r="K39" s="4"/>
      <c r="L39" s="4"/>
      <c r="M39" s="4"/>
      <c r="N39" s="32"/>
      <c r="O39" s="32"/>
      <c r="P39" s="32"/>
    </row>
    <row r="40" spans="1:16">
      <c r="A40" s="1"/>
      <c r="B40" s="1" t="s">
        <v>51</v>
      </c>
      <c r="C40" s="1"/>
      <c r="D40" s="4">
        <v>500</v>
      </c>
      <c r="E40" s="4">
        <v>56</v>
      </c>
      <c r="F40" s="32">
        <v>25</v>
      </c>
      <c r="G40" s="32"/>
      <c r="H40" s="32"/>
      <c r="I40" s="9">
        <f t="shared" si="2"/>
        <v>81</v>
      </c>
      <c r="J40" s="4">
        <v>500</v>
      </c>
      <c r="K40" s="32"/>
      <c r="L40" s="32"/>
      <c r="M40" s="32"/>
      <c r="N40" s="32"/>
      <c r="O40" s="32"/>
      <c r="P40" s="32"/>
    </row>
    <row r="41" spans="1:16">
      <c r="A41" s="1"/>
      <c r="B41" s="1" t="s">
        <v>52</v>
      </c>
      <c r="C41" s="1"/>
      <c r="D41" s="4">
        <v>2000</v>
      </c>
      <c r="E41" s="4">
        <v>641</v>
      </c>
      <c r="F41" s="32">
        <v>500</v>
      </c>
      <c r="G41" s="32">
        <v>500</v>
      </c>
      <c r="H41" s="32">
        <v>0</v>
      </c>
      <c r="I41" s="9">
        <f t="shared" si="2"/>
        <v>1641</v>
      </c>
      <c r="J41" s="4">
        <v>2000</v>
      </c>
      <c r="K41" s="32"/>
      <c r="L41" s="32"/>
      <c r="M41" s="32"/>
      <c r="N41" s="32"/>
      <c r="O41" s="32"/>
      <c r="P41" s="32"/>
    </row>
    <row r="42" spans="1:16">
      <c r="A42" s="1"/>
      <c r="B42" s="1" t="s">
        <v>53</v>
      </c>
      <c r="C42" s="1"/>
      <c r="F42" s="32"/>
      <c r="G42" s="32"/>
      <c r="H42" s="32"/>
      <c r="I42" s="9">
        <f t="shared" si="2"/>
        <v>0</v>
      </c>
      <c r="K42" s="32"/>
      <c r="L42" s="32"/>
      <c r="M42" s="32"/>
      <c r="N42" s="32"/>
      <c r="O42" s="32"/>
      <c r="P42" s="32"/>
    </row>
    <row r="43" spans="1:16">
      <c r="A43" s="1"/>
      <c r="B43" s="1"/>
      <c r="C43" s="1" t="s">
        <v>54</v>
      </c>
      <c r="D43" s="4">
        <v>15000</v>
      </c>
      <c r="E43" s="4">
        <v>17088</v>
      </c>
      <c r="F43" s="32">
        <v>1850</v>
      </c>
      <c r="G43" s="32">
        <v>2780</v>
      </c>
      <c r="H43" s="32">
        <v>2780</v>
      </c>
      <c r="I43" s="9">
        <f t="shared" si="2"/>
        <v>24498</v>
      </c>
      <c r="J43" s="4">
        <f>36000</f>
        <v>36000</v>
      </c>
      <c r="K43" s="32"/>
      <c r="L43" s="32"/>
      <c r="M43" s="32"/>
      <c r="N43" s="32"/>
      <c r="O43" s="32"/>
      <c r="P43" s="32"/>
    </row>
    <row r="44" spans="1:16">
      <c r="A44" s="1"/>
      <c r="B44" s="1"/>
      <c r="C44" s="1" t="s">
        <v>55</v>
      </c>
      <c r="D44" s="4">
        <v>2400</v>
      </c>
      <c r="E44" s="4">
        <v>1661</v>
      </c>
      <c r="F44" s="32">
        <v>185</v>
      </c>
      <c r="G44" s="32">
        <v>185</v>
      </c>
      <c r="H44" s="32">
        <v>185</v>
      </c>
      <c r="I44" s="9">
        <f t="shared" si="2"/>
        <v>2216</v>
      </c>
      <c r="J44" s="4">
        <v>2300</v>
      </c>
      <c r="K44" s="32"/>
      <c r="L44" s="32"/>
      <c r="M44" s="32"/>
      <c r="N44" s="32"/>
      <c r="O44" s="32"/>
      <c r="P44" s="32"/>
    </row>
    <row r="45" spans="1:16">
      <c r="A45" s="1"/>
      <c r="B45" s="1"/>
      <c r="C45" s="1" t="s">
        <v>56</v>
      </c>
      <c r="D45" s="4">
        <v>12000</v>
      </c>
      <c r="E45" s="4">
        <v>8522</v>
      </c>
      <c r="F45" s="32">
        <v>1116</v>
      </c>
      <c r="G45" s="32">
        <v>667</v>
      </c>
      <c r="H45" s="32">
        <v>667</v>
      </c>
      <c r="I45" s="9">
        <f t="shared" si="2"/>
        <v>10972</v>
      </c>
      <c r="J45" s="4">
        <v>11000</v>
      </c>
      <c r="K45" s="32"/>
      <c r="L45" s="32"/>
      <c r="M45" s="32"/>
      <c r="N45" s="32"/>
      <c r="O45" s="32"/>
      <c r="P45" s="32"/>
    </row>
    <row r="46" spans="1:16">
      <c r="A46" s="1"/>
      <c r="B46" s="1"/>
      <c r="C46" s="1" t="s">
        <v>57</v>
      </c>
      <c r="D46" s="4">
        <v>18500</v>
      </c>
      <c r="E46" s="4">
        <v>16615</v>
      </c>
      <c r="F46" s="32">
        <v>1878</v>
      </c>
      <c r="G46" s="32">
        <v>1878</v>
      </c>
      <c r="H46" s="32">
        <v>1878</v>
      </c>
      <c r="I46" s="9">
        <f t="shared" si="2"/>
        <v>22249</v>
      </c>
      <c r="J46" s="4">
        <f>22249*1.1</f>
        <v>24473.9</v>
      </c>
      <c r="K46" s="32"/>
      <c r="L46" s="32"/>
      <c r="M46" s="32"/>
      <c r="N46" s="32"/>
      <c r="O46" s="32"/>
      <c r="P46" s="32"/>
    </row>
    <row r="47" spans="1:16" ht="15.75" thickBot="1">
      <c r="A47" s="1"/>
      <c r="B47" s="1"/>
      <c r="C47" s="1" t="s">
        <v>58</v>
      </c>
      <c r="D47" s="6">
        <v>28000</v>
      </c>
      <c r="E47" s="6">
        <v>19850</v>
      </c>
      <c r="F47" s="14">
        <v>2197</v>
      </c>
      <c r="G47" s="14">
        <v>2200</v>
      </c>
      <c r="H47" s="14">
        <v>2200</v>
      </c>
      <c r="I47" s="15">
        <f t="shared" si="2"/>
        <v>26447</v>
      </c>
      <c r="J47" s="6">
        <f>26450*1.1</f>
        <v>29095.000000000004</v>
      </c>
      <c r="K47" s="32"/>
      <c r="L47" s="32"/>
      <c r="M47" s="32"/>
      <c r="N47" s="32"/>
      <c r="O47" s="32"/>
      <c r="P47" s="32"/>
    </row>
    <row r="48" spans="1:16">
      <c r="A48" s="1"/>
      <c r="B48" s="1" t="s">
        <v>59</v>
      </c>
      <c r="C48" s="1"/>
      <c r="D48" s="4">
        <f>SUM(D43:D47)</f>
        <v>75900</v>
      </c>
      <c r="E48" s="4">
        <f t="shared" ref="E48" si="9">SUM(E43:E47)</f>
        <v>63736</v>
      </c>
      <c r="F48" s="4">
        <f t="shared" ref="F48" si="10">SUM(F43:F47)</f>
        <v>7226</v>
      </c>
      <c r="G48" s="4">
        <f t="shared" ref="G48" si="11">SUM(G43:G47)</f>
        <v>7710</v>
      </c>
      <c r="H48" s="4">
        <f t="shared" ref="H48" si="12">SUM(H43:H47)</f>
        <v>7710</v>
      </c>
      <c r="I48" s="4">
        <f t="shared" ref="I48" si="13">SUM(I43:I47)</f>
        <v>86382</v>
      </c>
      <c r="J48" s="4">
        <f t="shared" ref="J48" si="14">SUM(J43:J47)</f>
        <v>102868.9</v>
      </c>
      <c r="K48" s="4"/>
      <c r="L48" s="4"/>
      <c r="M48" s="4"/>
      <c r="N48" s="32"/>
      <c r="O48" s="32"/>
      <c r="P48" s="32"/>
    </row>
    <row r="49" spans="1:16">
      <c r="A49" s="1"/>
      <c r="B49" s="1" t="s">
        <v>60</v>
      </c>
      <c r="C49" s="1"/>
      <c r="D49" s="4">
        <v>2000</v>
      </c>
      <c r="E49" s="4">
        <v>1147</v>
      </c>
      <c r="F49" s="32">
        <v>28</v>
      </c>
      <c r="G49" s="32">
        <v>200</v>
      </c>
      <c r="H49" s="32">
        <v>200</v>
      </c>
      <c r="I49" s="9">
        <f t="shared" si="2"/>
        <v>1575</v>
      </c>
      <c r="J49" s="4">
        <v>2000</v>
      </c>
      <c r="K49" s="32"/>
      <c r="L49" s="32"/>
      <c r="M49" s="32"/>
      <c r="N49" s="32"/>
      <c r="O49" s="32"/>
      <c r="P49" s="32"/>
    </row>
    <row r="50" spans="1:16">
      <c r="A50" s="1"/>
      <c r="B50" s="1" t="s">
        <v>61</v>
      </c>
      <c r="C50" s="1"/>
      <c r="D50" s="4">
        <v>5000</v>
      </c>
      <c r="E50" s="4">
        <v>0</v>
      </c>
      <c r="F50" s="32">
        <v>0</v>
      </c>
      <c r="G50" s="32">
        <v>1500</v>
      </c>
      <c r="H50" s="32">
        <v>0</v>
      </c>
      <c r="I50" s="9">
        <f t="shared" si="2"/>
        <v>1500</v>
      </c>
      <c r="J50" s="4">
        <v>1000</v>
      </c>
      <c r="K50" s="32"/>
      <c r="L50" s="32"/>
      <c r="M50" s="32"/>
      <c r="N50" s="32"/>
      <c r="O50" s="32"/>
      <c r="P50" s="32"/>
    </row>
    <row r="51" spans="1:16">
      <c r="A51" s="1"/>
      <c r="B51" s="1" t="s">
        <v>62</v>
      </c>
      <c r="C51" s="1"/>
      <c r="D51" s="4">
        <v>3000</v>
      </c>
      <c r="E51" s="4">
        <v>783</v>
      </c>
      <c r="F51" s="32">
        <v>1500</v>
      </c>
      <c r="G51" s="32">
        <v>1500</v>
      </c>
      <c r="H51" s="32">
        <v>0</v>
      </c>
      <c r="I51" s="9">
        <f t="shared" si="2"/>
        <v>3783</v>
      </c>
      <c r="J51" s="4">
        <v>3000</v>
      </c>
      <c r="K51" s="32"/>
      <c r="L51" s="32"/>
      <c r="M51" s="32"/>
      <c r="N51" s="32"/>
      <c r="O51" s="32"/>
      <c r="P51" s="32"/>
    </row>
    <row r="52" spans="1:16">
      <c r="A52" s="1"/>
      <c r="B52" s="1" t="s">
        <v>63</v>
      </c>
      <c r="C52" s="1"/>
      <c r="E52" s="4">
        <v>1324</v>
      </c>
      <c r="F52" s="32">
        <v>540</v>
      </c>
      <c r="G52" s="32"/>
      <c r="H52" s="32"/>
      <c r="I52" s="9">
        <f t="shared" si="2"/>
        <v>1864</v>
      </c>
      <c r="J52" s="4">
        <v>0</v>
      </c>
      <c r="K52" s="32"/>
      <c r="L52" s="32"/>
      <c r="M52" s="32"/>
      <c r="N52" s="32"/>
      <c r="O52" s="32"/>
      <c r="P52" s="32"/>
    </row>
    <row r="53" spans="1:16">
      <c r="A53" s="1"/>
      <c r="B53" s="1" t="s">
        <v>64</v>
      </c>
      <c r="C53" s="1"/>
      <c r="D53" s="4">
        <v>19000</v>
      </c>
      <c r="E53" s="4">
        <v>15349</v>
      </c>
      <c r="F53" s="32">
        <v>0</v>
      </c>
      <c r="G53" s="32">
        <v>1000</v>
      </c>
      <c r="H53" s="32">
        <v>1000</v>
      </c>
      <c r="I53" s="9">
        <f t="shared" si="2"/>
        <v>17349</v>
      </c>
      <c r="J53" s="4">
        <v>19000</v>
      </c>
      <c r="K53" s="32"/>
      <c r="L53" s="32"/>
      <c r="M53" s="32"/>
      <c r="N53" s="32"/>
      <c r="O53" s="32"/>
      <c r="P53" s="32"/>
    </row>
    <row r="54" spans="1:16">
      <c r="A54" s="1"/>
      <c r="B54" s="1" t="s">
        <v>65</v>
      </c>
      <c r="C54" s="1"/>
      <c r="D54" s="4">
        <v>38680</v>
      </c>
      <c r="E54" s="4">
        <v>0</v>
      </c>
      <c r="F54" s="35">
        <v>0</v>
      </c>
      <c r="G54" s="35"/>
      <c r="H54" s="35"/>
      <c r="I54" s="9">
        <f t="shared" si="2"/>
        <v>0</v>
      </c>
      <c r="J54" s="4">
        <f>3223.28*12</f>
        <v>38679.360000000001</v>
      </c>
      <c r="K54" s="32" t="s">
        <v>66</v>
      </c>
      <c r="L54" s="32"/>
      <c r="M54" s="32"/>
      <c r="N54" s="32"/>
      <c r="O54" s="32"/>
      <c r="P54" s="32"/>
    </row>
    <row r="55" spans="1:16">
      <c r="A55" s="1"/>
      <c r="B55" s="1" t="s">
        <v>67</v>
      </c>
      <c r="C55" s="1"/>
      <c r="D55" s="4">
        <v>1000</v>
      </c>
      <c r="E55" s="4">
        <v>320</v>
      </c>
      <c r="F55" s="32">
        <v>0</v>
      </c>
      <c r="G55" s="32">
        <v>250</v>
      </c>
      <c r="H55" s="32">
        <v>250</v>
      </c>
      <c r="I55" s="9">
        <f t="shared" si="2"/>
        <v>820</v>
      </c>
      <c r="J55" s="4">
        <v>500</v>
      </c>
      <c r="K55" s="32"/>
      <c r="L55" s="32"/>
      <c r="M55" s="32"/>
      <c r="N55" s="32"/>
      <c r="O55" s="32"/>
      <c r="P55" s="32"/>
    </row>
    <row r="56" spans="1:16">
      <c r="A56" s="1"/>
      <c r="B56" s="1" t="s">
        <v>68</v>
      </c>
      <c r="C56" s="1"/>
      <c r="D56" s="4">
        <v>4000</v>
      </c>
      <c r="E56" s="4">
        <v>2740</v>
      </c>
      <c r="F56" s="32">
        <v>266</v>
      </c>
      <c r="G56" s="32">
        <v>240</v>
      </c>
      <c r="H56" s="32">
        <v>240</v>
      </c>
      <c r="I56" s="9">
        <f t="shared" si="2"/>
        <v>3486</v>
      </c>
      <c r="J56" s="4">
        <v>4000</v>
      </c>
      <c r="K56" s="32"/>
      <c r="L56" s="32"/>
      <c r="M56" s="32"/>
      <c r="N56" s="32"/>
      <c r="O56" s="32"/>
      <c r="P56" s="32"/>
    </row>
    <row r="57" spans="1:16">
      <c r="A57" s="1"/>
      <c r="B57" s="1" t="s">
        <v>69</v>
      </c>
      <c r="C57" s="1"/>
      <c r="D57" s="4">
        <v>8800</v>
      </c>
      <c r="E57" s="4">
        <v>6475</v>
      </c>
      <c r="F57" s="32">
        <v>785</v>
      </c>
      <c r="G57" s="32">
        <v>800</v>
      </c>
      <c r="H57" s="32">
        <v>800</v>
      </c>
      <c r="I57" s="9">
        <f t="shared" si="2"/>
        <v>8860</v>
      </c>
      <c r="J57" s="4">
        <v>9000</v>
      </c>
      <c r="K57" s="32"/>
      <c r="L57" s="32"/>
      <c r="M57" s="32"/>
      <c r="N57" s="32"/>
      <c r="O57" s="32"/>
      <c r="P57" s="32"/>
    </row>
    <row r="58" spans="1:16">
      <c r="A58" s="1"/>
      <c r="B58" s="1" t="s">
        <v>70</v>
      </c>
      <c r="C58" s="1"/>
      <c r="D58" s="4">
        <v>5200</v>
      </c>
      <c r="E58" s="4">
        <v>2710</v>
      </c>
      <c r="F58" s="32">
        <v>437</v>
      </c>
      <c r="G58" s="32">
        <v>0</v>
      </c>
      <c r="H58" s="32">
        <v>0</v>
      </c>
      <c r="I58" s="9">
        <f t="shared" si="2"/>
        <v>3147</v>
      </c>
      <c r="J58" s="4">
        <v>4000</v>
      </c>
      <c r="K58" s="32"/>
      <c r="L58" s="32"/>
      <c r="M58" s="32"/>
      <c r="N58" s="32"/>
      <c r="O58" s="32"/>
      <c r="P58" s="32"/>
    </row>
    <row r="59" spans="1:16">
      <c r="A59" s="1"/>
      <c r="B59" s="1" t="s">
        <v>71</v>
      </c>
      <c r="C59" s="1"/>
      <c r="D59" s="4">
        <v>185</v>
      </c>
      <c r="E59" s="4">
        <v>0</v>
      </c>
      <c r="F59" s="32">
        <v>0</v>
      </c>
      <c r="G59" s="32">
        <v>185</v>
      </c>
      <c r="H59" s="32">
        <v>0</v>
      </c>
      <c r="I59" s="9">
        <f t="shared" si="2"/>
        <v>185</v>
      </c>
      <c r="J59" s="4">
        <v>200</v>
      </c>
      <c r="K59" s="32"/>
      <c r="L59" s="32"/>
      <c r="M59" s="32"/>
      <c r="N59" s="32"/>
      <c r="O59" s="32"/>
      <c r="P59" s="32"/>
    </row>
    <row r="60" spans="1:16">
      <c r="A60" s="1"/>
      <c r="B60" s="1" t="s">
        <v>72</v>
      </c>
      <c r="C60" s="1"/>
      <c r="D60" s="4">
        <v>7500</v>
      </c>
      <c r="E60" s="4">
        <v>5699</v>
      </c>
      <c r="F60" s="32">
        <v>536</v>
      </c>
      <c r="G60" s="32">
        <v>694</v>
      </c>
      <c r="H60" s="32">
        <v>694</v>
      </c>
      <c r="I60" s="9">
        <f t="shared" si="2"/>
        <v>7623</v>
      </c>
      <c r="J60" s="4">
        <v>6000</v>
      </c>
      <c r="K60" s="32"/>
      <c r="L60" s="32"/>
      <c r="M60" s="32"/>
      <c r="N60" s="32"/>
      <c r="O60" s="32"/>
      <c r="P60" s="32"/>
    </row>
    <row r="61" spans="1:16" s="32" customFormat="1">
      <c r="A61" s="1"/>
      <c r="B61" s="1" t="s">
        <v>73</v>
      </c>
      <c r="C61" s="1"/>
      <c r="D61" s="4"/>
      <c r="E61" s="4"/>
      <c r="I61" s="9"/>
      <c r="J61" s="39">
        <f>836*4</f>
        <v>3344</v>
      </c>
      <c r="K61" s="38"/>
    </row>
    <row r="62" spans="1:16">
      <c r="A62" s="1"/>
      <c r="B62" s="1" t="s">
        <v>74</v>
      </c>
      <c r="C62" s="1"/>
      <c r="D62" s="4">
        <v>1500</v>
      </c>
      <c r="E62" s="4">
        <v>963</v>
      </c>
      <c r="F62" s="32">
        <v>107</v>
      </c>
      <c r="G62" s="32">
        <v>110</v>
      </c>
      <c r="H62" s="32">
        <v>110</v>
      </c>
      <c r="I62" s="9">
        <f t="shared" si="2"/>
        <v>1290</v>
      </c>
      <c r="J62" s="4">
        <v>1500</v>
      </c>
      <c r="K62" s="32"/>
      <c r="L62" s="32"/>
      <c r="M62" s="32"/>
      <c r="N62" s="32"/>
      <c r="O62" s="32"/>
      <c r="P62" s="32"/>
    </row>
    <row r="63" spans="1:16">
      <c r="A63" s="1"/>
      <c r="B63" s="1" t="s">
        <v>75</v>
      </c>
      <c r="C63" s="1"/>
      <c r="D63" s="4">
        <v>7500</v>
      </c>
      <c r="E63" s="4">
        <v>5516</v>
      </c>
      <c r="F63" s="32">
        <v>1305</v>
      </c>
      <c r="G63" s="32">
        <v>0</v>
      </c>
      <c r="H63" s="32">
        <v>1382</v>
      </c>
      <c r="I63" s="9">
        <f t="shared" si="2"/>
        <v>8203</v>
      </c>
      <c r="J63" s="4">
        <v>8500</v>
      </c>
      <c r="K63" s="32"/>
      <c r="L63" s="32"/>
      <c r="M63" s="32"/>
      <c r="N63" s="32"/>
      <c r="O63" s="32"/>
      <c r="P63" s="32"/>
    </row>
    <row r="64" spans="1:16">
      <c r="A64" s="1"/>
      <c r="B64" s="1" t="s">
        <v>76</v>
      </c>
      <c r="C64" s="1"/>
      <c r="D64" s="4">
        <v>5000</v>
      </c>
      <c r="E64" s="4">
        <v>7602</v>
      </c>
      <c r="F64" s="32">
        <v>214</v>
      </c>
      <c r="G64" s="32">
        <v>0</v>
      </c>
      <c r="H64" s="32">
        <v>0</v>
      </c>
      <c r="I64" s="9">
        <f t="shared" si="2"/>
        <v>7816</v>
      </c>
      <c r="J64" s="4">
        <v>5000</v>
      </c>
      <c r="K64" s="32"/>
      <c r="L64" s="32"/>
      <c r="M64" s="32"/>
      <c r="N64" s="32"/>
      <c r="O64" s="32"/>
      <c r="P64" s="32"/>
    </row>
    <row r="65" spans="1:16">
      <c r="A65" s="1"/>
      <c r="B65" s="1" t="s">
        <v>77</v>
      </c>
      <c r="C65" s="1"/>
      <c r="E65" s="4">
        <v>2354</v>
      </c>
      <c r="F65" s="32">
        <v>218</v>
      </c>
      <c r="G65" s="32">
        <v>218</v>
      </c>
      <c r="H65" s="32">
        <v>218</v>
      </c>
      <c r="I65" s="9">
        <f t="shared" si="2"/>
        <v>3008</v>
      </c>
      <c r="J65" s="4">
        <v>0</v>
      </c>
      <c r="K65" s="32"/>
      <c r="L65" s="32"/>
      <c r="M65" s="32"/>
      <c r="N65" s="32"/>
      <c r="O65" s="32"/>
      <c r="P65" s="32"/>
    </row>
    <row r="66" spans="1:16">
      <c r="A66" s="1"/>
      <c r="B66" s="1" t="s">
        <v>78</v>
      </c>
      <c r="C66" s="1"/>
      <c r="D66" s="4">
        <v>4000</v>
      </c>
      <c r="E66" s="4">
        <v>7649</v>
      </c>
      <c r="F66" s="32">
        <v>140</v>
      </c>
      <c r="G66" s="32">
        <v>500</v>
      </c>
      <c r="H66" s="32">
        <v>500</v>
      </c>
      <c r="I66" s="9">
        <f t="shared" si="2"/>
        <v>8789</v>
      </c>
      <c r="J66" s="4">
        <v>4000</v>
      </c>
      <c r="K66" s="32"/>
      <c r="L66" s="32"/>
      <c r="M66" s="32"/>
      <c r="N66" s="32"/>
      <c r="O66" s="32"/>
      <c r="P66" s="32"/>
    </row>
    <row r="67" spans="1:16">
      <c r="A67" s="1"/>
      <c r="B67" s="1" t="s">
        <v>79</v>
      </c>
      <c r="C67" s="1"/>
      <c r="D67" s="4">
        <v>868</v>
      </c>
      <c r="E67" s="4">
        <v>59</v>
      </c>
      <c r="F67" s="32">
        <v>0</v>
      </c>
      <c r="G67" s="32">
        <v>0</v>
      </c>
      <c r="H67" s="32">
        <v>0</v>
      </c>
      <c r="I67" s="9">
        <f t="shared" si="2"/>
        <v>59</v>
      </c>
      <c r="J67" s="4">
        <v>0</v>
      </c>
      <c r="K67" s="32"/>
      <c r="L67" s="32"/>
      <c r="M67" s="32"/>
      <c r="N67" s="32"/>
      <c r="O67" s="32"/>
      <c r="P67" s="32"/>
    </row>
    <row r="68" spans="1:16">
      <c r="A68" s="1"/>
      <c r="B68" s="1" t="s">
        <v>80</v>
      </c>
      <c r="C68" s="1"/>
      <c r="E68" s="4">
        <v>808</v>
      </c>
      <c r="F68" s="32">
        <v>92</v>
      </c>
      <c r="G68" s="32">
        <v>92</v>
      </c>
      <c r="H68" s="32">
        <v>92</v>
      </c>
      <c r="I68" s="9">
        <f t="shared" si="2"/>
        <v>1084</v>
      </c>
      <c r="J68" s="4">
        <v>1000</v>
      </c>
      <c r="K68" s="32"/>
      <c r="L68" s="32"/>
      <c r="M68" s="32"/>
      <c r="N68" s="32"/>
      <c r="O68" s="32"/>
      <c r="P68" s="32"/>
    </row>
    <row r="69" spans="1:16">
      <c r="A69" s="1"/>
      <c r="B69" s="1" t="s">
        <v>81</v>
      </c>
      <c r="C69" s="1"/>
      <c r="D69" s="4">
        <v>4200</v>
      </c>
      <c r="E69" s="4">
        <v>2331</v>
      </c>
      <c r="F69" s="32">
        <v>306</v>
      </c>
      <c r="G69" s="32">
        <v>306</v>
      </c>
      <c r="H69" s="32">
        <v>306</v>
      </c>
      <c r="I69" s="9">
        <f t="shared" si="2"/>
        <v>3249</v>
      </c>
      <c r="J69" s="4">
        <v>4200</v>
      </c>
      <c r="K69" s="32"/>
      <c r="L69" s="32"/>
      <c r="M69" s="32"/>
      <c r="N69" s="32"/>
      <c r="O69" s="32"/>
      <c r="P69" s="32"/>
    </row>
    <row r="70" spans="1:16" ht="15.75" thickBot="1">
      <c r="A70" s="1"/>
      <c r="B70" s="1" t="s">
        <v>82</v>
      </c>
      <c r="C70" s="1"/>
      <c r="D70" s="4">
        <v>45913</v>
      </c>
      <c r="E70" s="4">
        <v>44335</v>
      </c>
      <c r="F70" s="32">
        <v>11478.25</v>
      </c>
      <c r="G70" s="32">
        <v>0</v>
      </c>
      <c r="H70" s="32"/>
      <c r="I70" s="9">
        <f t="shared" si="2"/>
        <v>55813.25</v>
      </c>
      <c r="J70" s="4">
        <f>'Reserve Schedule'!H15</f>
        <v>46375.68209325397</v>
      </c>
      <c r="K70" s="32"/>
      <c r="L70" s="32"/>
      <c r="M70" s="32"/>
      <c r="N70" s="32"/>
      <c r="O70" s="32"/>
      <c r="P70" s="32"/>
    </row>
    <row r="71" spans="1:16">
      <c r="A71" s="1" t="s">
        <v>83</v>
      </c>
      <c r="B71" s="1"/>
      <c r="C71" s="1"/>
      <c r="D71" s="7">
        <f>ROUND(SUM(D14:D31)+SUM(D39:D41)+SUM(D48:D70),5)</f>
        <v>584578</v>
      </c>
      <c r="E71" s="7">
        <f t="shared" ref="E71" si="15">ROUND(SUM(E14:E31)+SUM(E39:E41)+SUM(E48:E70),5)</f>
        <v>420768</v>
      </c>
      <c r="F71" s="7">
        <f t="shared" ref="F71" si="16">ROUND(SUM(F14:F31)+SUM(F39:F41)+SUM(F48:F70),5)</f>
        <v>55200.25</v>
      </c>
      <c r="G71" s="7">
        <f t="shared" ref="G71" si="17">ROUND(SUM(G14:G31)+SUM(G39:G41)+SUM(G48:G70),5)</f>
        <v>45174.656999999999</v>
      </c>
      <c r="H71" s="7">
        <f t="shared" ref="H71" si="18">ROUND(SUM(H14:H31)+SUM(H39:H41)+SUM(H48:H70),5)</f>
        <v>40081.656999999999</v>
      </c>
      <c r="I71" s="7">
        <f t="shared" ref="I71" si="19">ROUND(SUM(I14:I31)+SUM(I39:I41)+SUM(I48:I70),5)</f>
        <v>561224.56400000001</v>
      </c>
      <c r="J71" s="7">
        <f t="shared" ref="J71" si="20">ROUND(SUM(J14:J31)+SUM(J39:J41)+SUM(J48:J70),5)</f>
        <v>587025.43330999999</v>
      </c>
      <c r="K71" s="11"/>
      <c r="L71" s="11"/>
      <c r="M71" s="11"/>
      <c r="N71" s="32"/>
      <c r="O71" s="32"/>
      <c r="P71" s="32"/>
    </row>
    <row r="73" spans="1:16">
      <c r="A73" s="32" t="s">
        <v>84</v>
      </c>
      <c r="B73" s="32"/>
      <c r="C73" s="32"/>
      <c r="D73" s="4">
        <f>D13-D71</f>
        <v>3344</v>
      </c>
      <c r="E73" s="4">
        <f t="shared" ref="E73:J73" si="21">E13-E71</f>
        <v>13545</v>
      </c>
      <c r="F73" s="4">
        <f t="shared" si="21"/>
        <v>1393.75</v>
      </c>
      <c r="G73" s="4">
        <f t="shared" si="21"/>
        <v>-1082.6569999999992</v>
      </c>
      <c r="H73" s="4">
        <f t="shared" si="21"/>
        <v>4010.3430000000008</v>
      </c>
      <c r="I73" s="4">
        <f t="shared" si="21"/>
        <v>17866.435999999987</v>
      </c>
      <c r="J73" s="4">
        <f t="shared" si="21"/>
        <v>0</v>
      </c>
      <c r="K73" s="4"/>
      <c r="L73" s="4"/>
      <c r="M73" s="4"/>
      <c r="N73" s="32"/>
      <c r="O73" s="32"/>
      <c r="P73" s="32"/>
    </row>
    <row r="75" spans="1:16">
      <c r="A75" s="32"/>
      <c r="B75" s="32"/>
      <c r="C75" s="32"/>
      <c r="D75" s="26">
        <f>O1</f>
        <v>2020</v>
      </c>
      <c r="E75" s="26">
        <f>O2</f>
        <v>2021</v>
      </c>
      <c r="F75" s="32"/>
      <c r="G75" s="32"/>
      <c r="H75" s="32"/>
      <c r="I75" s="32"/>
      <c r="K75" s="32"/>
      <c r="L75" s="32"/>
      <c r="M75" s="32"/>
      <c r="N75" s="32"/>
      <c r="O75" s="32"/>
      <c r="P75" s="32"/>
    </row>
    <row r="76" spans="1:16">
      <c r="A76" s="32"/>
      <c r="B76" s="32"/>
      <c r="C76" s="32" t="s">
        <v>85</v>
      </c>
      <c r="D76" s="4">
        <f>836*4</f>
        <v>3344</v>
      </c>
      <c r="E76" s="4">
        <f>J5/C3</f>
        <v>3344.5428887333333</v>
      </c>
      <c r="F76" s="32"/>
      <c r="G76" s="32"/>
      <c r="H76" s="32"/>
      <c r="I76" s="32"/>
      <c r="K76" s="32"/>
      <c r="L76" s="32"/>
      <c r="M76" s="32"/>
      <c r="N76" s="32"/>
      <c r="O76" s="32"/>
      <c r="P76" s="32"/>
    </row>
    <row r="77" spans="1:16">
      <c r="A77" s="32"/>
      <c r="B77" s="32"/>
      <c r="C77" s="32" t="s">
        <v>86</v>
      </c>
      <c r="D77" s="4">
        <f>D76*0.25</f>
        <v>836</v>
      </c>
      <c r="E77" s="4">
        <f>E76*0.25</f>
        <v>836.13572218333331</v>
      </c>
      <c r="F77" s="32"/>
      <c r="G77" s="32"/>
      <c r="H77" s="32"/>
      <c r="I77" s="32"/>
      <c r="K77" s="32"/>
      <c r="L77" s="32"/>
      <c r="M77" s="32"/>
      <c r="N77" s="32"/>
      <c r="O77" s="32"/>
      <c r="P77" s="32"/>
    </row>
    <row r="79" spans="1:16">
      <c r="A79" s="32"/>
      <c r="B79" s="32"/>
      <c r="C79" s="32"/>
      <c r="F79" s="32"/>
      <c r="G79" s="32"/>
      <c r="H79" s="32"/>
      <c r="I79" s="32"/>
      <c r="K79" s="32"/>
      <c r="L79" s="32"/>
      <c r="M79" s="32"/>
      <c r="N79" s="32"/>
      <c r="O79" s="32"/>
      <c r="P79" s="32"/>
    </row>
  </sheetData>
  <mergeCells count="1">
    <mergeCell ref="A1:J1"/>
  </mergeCells>
  <pageMargins left="0.7" right="0.7" top="0.75" bottom="0.75" header="0.3" footer="0.3"/>
  <pageSetup scale="74" orientation="landscape" horizontalDpi="300" verticalDpi="300" r:id="rId1"/>
  <rowBreaks count="1" manualBreakCount="1">
    <brk id="31" max="11" man="1"/>
  </rowBreaks>
  <colBreaks count="1" manualBreakCount="1">
    <brk id="12" max="1048575" man="1"/>
  </colBreaks>
  <ignoredErrors>
    <ignoredError sqref="I11:I12 I62:I70 I15:I60 I5:I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142C-CCD4-4529-9605-ED85084F2B51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A4FFF-3696-4250-A8AB-2FC3B7DE57B0}">
  <dimension ref="A2:N16"/>
  <sheetViews>
    <sheetView view="pageBreakPreview" zoomScale="60" zoomScaleNormal="100" workbookViewId="0">
      <selection activeCell="L9" sqref="L8:L9"/>
    </sheetView>
  </sheetViews>
  <sheetFormatPr defaultRowHeight="15"/>
  <cols>
    <col min="2" max="2" width="12.28515625" bestFit="1" customWidth="1"/>
    <col min="13" max="13" width="14.85546875" bestFit="1" customWidth="1"/>
  </cols>
  <sheetData>
    <row r="2" spans="1:14">
      <c r="A2" s="32" t="s">
        <v>87</v>
      </c>
      <c r="B2" s="31" t="s">
        <v>88</v>
      </c>
      <c r="C2" s="31" t="s">
        <v>89</v>
      </c>
      <c r="D2" s="31" t="s">
        <v>90</v>
      </c>
      <c r="E2" s="31" t="s">
        <v>91</v>
      </c>
      <c r="F2" s="31" t="s">
        <v>92</v>
      </c>
      <c r="G2" s="31" t="s">
        <v>93</v>
      </c>
      <c r="H2" s="31" t="s">
        <v>94</v>
      </c>
      <c r="I2" s="31" t="s">
        <v>95</v>
      </c>
      <c r="J2" s="31" t="s">
        <v>96</v>
      </c>
      <c r="K2" s="31" t="s">
        <v>97</v>
      </c>
      <c r="L2" s="31" t="s">
        <v>98</v>
      </c>
      <c r="M2" s="31" t="s">
        <v>99</v>
      </c>
      <c r="N2" s="32" t="s">
        <v>100</v>
      </c>
    </row>
    <row r="3" spans="1:14" hidden="1">
      <c r="A3" s="32">
        <v>2017</v>
      </c>
      <c r="B3" s="30">
        <v>6199.48</v>
      </c>
      <c r="C3" s="30">
        <v>1311</v>
      </c>
      <c r="D3" s="30">
        <v>1338</v>
      </c>
      <c r="E3" s="30">
        <v>1854</v>
      </c>
      <c r="F3" s="30">
        <v>1523.44</v>
      </c>
      <c r="G3" s="30">
        <v>633.88</v>
      </c>
      <c r="H3" s="30">
        <v>426</v>
      </c>
      <c r="I3" s="30">
        <v>2446.85</v>
      </c>
      <c r="J3" s="30">
        <v>240</v>
      </c>
      <c r="K3" s="30">
        <v>1293</v>
      </c>
      <c r="L3" s="30">
        <v>1030.52</v>
      </c>
      <c r="M3" s="30">
        <v>1902</v>
      </c>
      <c r="N3" s="24">
        <f>SUM(B3:M3)</f>
        <v>20198.170000000002</v>
      </c>
    </row>
    <row r="4" spans="1:14" hidden="1">
      <c r="A4" s="32"/>
      <c r="B4" s="31" t="s">
        <v>88</v>
      </c>
      <c r="C4" s="31" t="s">
        <v>89</v>
      </c>
      <c r="D4" s="31" t="s">
        <v>90</v>
      </c>
      <c r="E4" s="31" t="s">
        <v>91</v>
      </c>
      <c r="F4" s="31" t="s">
        <v>92</v>
      </c>
      <c r="G4" s="31" t="s">
        <v>93</v>
      </c>
      <c r="H4" s="31" t="s">
        <v>94</v>
      </c>
      <c r="I4" s="31" t="s">
        <v>95</v>
      </c>
      <c r="J4" s="31" t="s">
        <v>96</v>
      </c>
      <c r="K4" s="31" t="s">
        <v>97</v>
      </c>
      <c r="L4" s="31" t="s">
        <v>98</v>
      </c>
      <c r="M4" s="31" t="s">
        <v>99</v>
      </c>
      <c r="N4" s="24"/>
    </row>
    <row r="5" spans="1:14">
      <c r="A5" s="32">
        <v>2018</v>
      </c>
      <c r="B5" s="30">
        <v>1117.5</v>
      </c>
      <c r="C5" s="30">
        <v>1807.5</v>
      </c>
      <c r="D5" s="30">
        <v>702.5</v>
      </c>
      <c r="E5" s="30">
        <v>1872.5</v>
      </c>
      <c r="F5" s="30">
        <v>1122</v>
      </c>
      <c r="G5" s="30">
        <v>1722.5</v>
      </c>
      <c r="H5" s="30">
        <v>3653</v>
      </c>
      <c r="I5" s="30">
        <v>1703.5</v>
      </c>
      <c r="J5" s="30">
        <v>1726.27</v>
      </c>
      <c r="K5" s="30">
        <v>787.5</v>
      </c>
      <c r="L5" s="30">
        <v>1866.5</v>
      </c>
      <c r="M5" s="30">
        <v>651</v>
      </c>
      <c r="N5" s="24">
        <f t="shared" ref="N5:N7" si="0">SUM(B5:M5)</f>
        <v>18732.27</v>
      </c>
    </row>
    <row r="6" spans="1:14">
      <c r="A6" s="32">
        <v>2019</v>
      </c>
      <c r="B6" s="30">
        <v>1320</v>
      </c>
      <c r="C6" s="30">
        <v>2036</v>
      </c>
      <c r="D6" s="30">
        <v>4414.5</v>
      </c>
      <c r="E6" s="30">
        <v>8081.99</v>
      </c>
      <c r="F6" s="30">
        <v>2397.4</v>
      </c>
      <c r="G6" s="30">
        <v>2820</v>
      </c>
      <c r="H6" s="30">
        <v>2407.4</v>
      </c>
      <c r="I6" s="30">
        <v>1521.5</v>
      </c>
      <c r="J6" s="30">
        <v>2434.9699999999998</v>
      </c>
      <c r="K6" s="30">
        <v>2099.5</v>
      </c>
      <c r="L6" s="30">
        <v>1519.46</v>
      </c>
      <c r="M6" s="30">
        <v>2064.9499999999998</v>
      </c>
      <c r="N6" s="24">
        <f t="shared" si="0"/>
        <v>33117.67</v>
      </c>
    </row>
    <row r="7" spans="1:14">
      <c r="A7" s="32">
        <v>2020</v>
      </c>
      <c r="B7" s="24">
        <v>3199.5</v>
      </c>
      <c r="C7" s="24">
        <v>5630</v>
      </c>
      <c r="D7" s="24">
        <v>1074.8</v>
      </c>
      <c r="E7" s="24">
        <v>745</v>
      </c>
      <c r="F7" s="24">
        <v>3168</v>
      </c>
      <c r="G7" s="24">
        <v>1971</v>
      </c>
      <c r="H7" s="24">
        <v>820</v>
      </c>
      <c r="I7" s="24">
        <v>4248.62</v>
      </c>
      <c r="J7" s="24">
        <v>30</v>
      </c>
      <c r="K7" s="24">
        <v>0</v>
      </c>
      <c r="L7" s="24">
        <v>0</v>
      </c>
      <c r="M7" s="24">
        <v>0</v>
      </c>
      <c r="N7" s="24">
        <f t="shared" si="0"/>
        <v>20886.919999999998</v>
      </c>
    </row>
    <row r="8" spans="1:14">
      <c r="A8" s="32"/>
      <c r="B8" s="30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>
      <c r="A9" s="32"/>
      <c r="B9" s="30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>
      <c r="A10" s="32"/>
      <c r="B10" s="3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>
      <c r="A11" s="32"/>
      <c r="B11" s="3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>
      <c r="A12" s="32"/>
      <c r="B12" s="3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>
      <c r="A13" s="32"/>
      <c r="B13" s="3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>
      <c r="A14" s="32"/>
      <c r="B14" s="3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>
      <c r="A15" s="32"/>
      <c r="B15" s="3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32"/>
      <c r="B16" s="30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</sheetData>
  <pageMargins left="0.7" right="0.7" top="0.75" bottom="0.75" header="0.3" footer="0.3"/>
  <pageSetup scale="8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2D7F-807B-458A-9D28-208E7B41B72D}">
  <dimension ref="A1:M36"/>
  <sheetViews>
    <sheetView view="pageBreakPreview" zoomScale="60" zoomScaleNormal="100" workbookViewId="0">
      <selection activeCell="Q15" sqref="Q15"/>
    </sheetView>
  </sheetViews>
  <sheetFormatPr defaultRowHeight="15"/>
  <cols>
    <col min="2" max="2" width="9" bestFit="1" customWidth="1"/>
    <col min="3" max="3" width="8.85546875" bestFit="1" customWidth="1"/>
    <col min="4" max="9" width="9" bestFit="1" customWidth="1"/>
    <col min="10" max="10" width="10.85546875" bestFit="1" customWidth="1"/>
    <col min="11" max="11" width="9.140625" bestFit="1" customWidth="1"/>
    <col min="12" max="12" width="10.42578125" bestFit="1" customWidth="1"/>
    <col min="13" max="13" width="10.140625" bestFit="1" customWidth="1"/>
  </cols>
  <sheetData>
    <row r="1" spans="1:13">
      <c r="A1" s="32" t="s">
        <v>87</v>
      </c>
      <c r="B1" s="31" t="s">
        <v>88</v>
      </c>
      <c r="C1" s="31" t="s">
        <v>89</v>
      </c>
      <c r="D1" s="31" t="s">
        <v>90</v>
      </c>
      <c r="E1" s="31" t="s">
        <v>91</v>
      </c>
      <c r="F1" s="31" t="s">
        <v>92</v>
      </c>
      <c r="G1" s="31" t="s">
        <v>93</v>
      </c>
      <c r="H1" s="31" t="s">
        <v>94</v>
      </c>
      <c r="I1" s="31" t="s">
        <v>95</v>
      </c>
      <c r="J1" s="31" t="s">
        <v>96</v>
      </c>
      <c r="K1" s="31" t="s">
        <v>97</v>
      </c>
      <c r="L1" s="31" t="s">
        <v>98</v>
      </c>
      <c r="M1" s="31" t="s">
        <v>99</v>
      </c>
    </row>
    <row r="2" spans="1:13">
      <c r="A2" s="32">
        <v>2018</v>
      </c>
      <c r="B2" s="11">
        <v>3645.5</v>
      </c>
      <c r="C2" s="11">
        <v>3515</v>
      </c>
      <c r="D2" s="11">
        <v>5013.1000000000004</v>
      </c>
      <c r="E2" s="11">
        <v>6208.91</v>
      </c>
      <c r="F2" s="11">
        <v>2330</v>
      </c>
      <c r="G2" s="11">
        <v>3128.5</v>
      </c>
      <c r="H2" s="11">
        <v>1650</v>
      </c>
      <c r="I2" s="11">
        <v>2712.5</v>
      </c>
      <c r="J2" s="11">
        <v>3373</v>
      </c>
      <c r="K2" s="11">
        <v>4042.55</v>
      </c>
      <c r="L2" s="11">
        <v>2743.65</v>
      </c>
      <c r="M2" s="11">
        <v>4355.87</v>
      </c>
    </row>
    <row r="3" spans="1:13">
      <c r="A3" s="32">
        <v>2019</v>
      </c>
      <c r="B3" s="11">
        <v>3857.6</v>
      </c>
      <c r="C3" s="11">
        <v>3998.5</v>
      </c>
      <c r="D3" s="11">
        <v>3988</v>
      </c>
      <c r="E3" s="11">
        <v>2725</v>
      </c>
      <c r="F3" s="11">
        <v>3735</v>
      </c>
      <c r="G3" s="11">
        <v>5408.5</v>
      </c>
      <c r="H3" s="11">
        <v>4336.82</v>
      </c>
      <c r="I3" s="11">
        <v>3434.06</v>
      </c>
      <c r="J3" s="11">
        <v>4443</v>
      </c>
      <c r="K3" s="11">
        <v>4250</v>
      </c>
      <c r="L3" s="11">
        <v>3528.5</v>
      </c>
      <c r="M3" s="11">
        <v>4795.5</v>
      </c>
    </row>
    <row r="4" spans="1:13">
      <c r="A4" s="32">
        <v>2020</v>
      </c>
      <c r="B4" s="11">
        <v>4462</v>
      </c>
      <c r="C4" s="11">
        <v>4832</v>
      </c>
      <c r="D4" s="11">
        <v>3469.91</v>
      </c>
      <c r="E4" s="11">
        <v>4062.48</v>
      </c>
      <c r="F4" s="11">
        <v>3720.5</v>
      </c>
      <c r="G4" s="11">
        <v>4075</v>
      </c>
      <c r="H4" s="11">
        <v>3197.5</v>
      </c>
      <c r="I4" s="11">
        <v>3643</v>
      </c>
      <c r="J4" s="11">
        <v>3334.01</v>
      </c>
      <c r="K4" s="33">
        <v>0</v>
      </c>
      <c r="L4" s="33">
        <v>0</v>
      </c>
      <c r="M4" s="33">
        <v>0</v>
      </c>
    </row>
    <row r="33" spans="1:13">
      <c r="A33" s="32" t="s">
        <v>87</v>
      </c>
      <c r="B33" s="31" t="s">
        <v>88</v>
      </c>
      <c r="C33" s="31" t="s">
        <v>89</v>
      </c>
      <c r="D33" s="31" t="s">
        <v>90</v>
      </c>
      <c r="E33" s="31" t="s">
        <v>91</v>
      </c>
      <c r="F33" s="31" t="s">
        <v>92</v>
      </c>
      <c r="G33" s="31" t="s">
        <v>93</v>
      </c>
      <c r="H33" s="31" t="s">
        <v>94</v>
      </c>
      <c r="I33" s="31" t="s">
        <v>95</v>
      </c>
      <c r="J33" s="31" t="s">
        <v>96</v>
      </c>
      <c r="K33" s="31" t="s">
        <v>97</v>
      </c>
      <c r="L33" s="31" t="s">
        <v>98</v>
      </c>
      <c r="M33" s="31" t="s">
        <v>99</v>
      </c>
    </row>
    <row r="34" spans="1:13">
      <c r="A34" s="32">
        <v>2018</v>
      </c>
      <c r="B34" s="11">
        <v>38805</v>
      </c>
      <c r="C34" s="11">
        <v>36055</v>
      </c>
      <c r="D34" s="11">
        <v>40055</v>
      </c>
      <c r="E34" s="11">
        <v>43580</v>
      </c>
      <c r="F34" s="11">
        <v>45630</v>
      </c>
      <c r="G34" s="11">
        <v>32705</v>
      </c>
      <c r="H34" s="11">
        <v>32490</v>
      </c>
      <c r="I34" s="11">
        <v>30615</v>
      </c>
      <c r="J34" s="11">
        <v>29020</v>
      </c>
      <c r="K34" s="11">
        <v>35032.5</v>
      </c>
      <c r="L34" s="11">
        <v>37295</v>
      </c>
      <c r="M34" s="11">
        <v>33795</v>
      </c>
    </row>
    <row r="35" spans="1:13">
      <c r="A35" s="32">
        <v>2019</v>
      </c>
      <c r="B35" s="11">
        <v>34645</v>
      </c>
      <c r="C35" s="11">
        <v>36545</v>
      </c>
      <c r="D35" s="11">
        <v>33610</v>
      </c>
      <c r="E35" s="11">
        <v>38655</v>
      </c>
      <c r="F35" s="11">
        <v>38155</v>
      </c>
      <c r="G35" s="11">
        <v>45080</v>
      </c>
      <c r="H35" s="11">
        <v>35288.480000000003</v>
      </c>
      <c r="I35" s="11">
        <v>38655</v>
      </c>
      <c r="J35" s="11">
        <v>39430</v>
      </c>
      <c r="K35" s="34">
        <v>42780</v>
      </c>
      <c r="L35" s="34">
        <v>37580</v>
      </c>
      <c r="M35" s="34">
        <v>32470</v>
      </c>
    </row>
    <row r="36" spans="1:13">
      <c r="A36" s="32">
        <v>2020</v>
      </c>
      <c r="B36" s="11">
        <v>39920</v>
      </c>
      <c r="C36" s="32">
        <v>51643</v>
      </c>
      <c r="D36" s="11">
        <v>32820</v>
      </c>
      <c r="E36" s="11">
        <v>36599.96</v>
      </c>
      <c r="F36" s="11">
        <v>32455</v>
      </c>
      <c r="G36" s="11">
        <v>39810</v>
      </c>
      <c r="H36" s="11">
        <v>33940</v>
      </c>
      <c r="I36" s="11">
        <v>34055</v>
      </c>
      <c r="J36" s="11">
        <v>0</v>
      </c>
      <c r="K36" s="11">
        <v>0</v>
      </c>
      <c r="L36" s="33">
        <v>0</v>
      </c>
      <c r="M36" s="33">
        <v>0</v>
      </c>
    </row>
  </sheetData>
  <pageMargins left="0.7" right="0.7" top="0.75" bottom="0.75" header="0.3" footer="0.3"/>
  <pageSetup scale="69" orientation="landscape" horizontalDpi="0" verticalDpi="0" r:id="rId1"/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B34E-142F-4451-996E-C036433BF2AC}">
  <dimension ref="A1:M22"/>
  <sheetViews>
    <sheetView zoomScaleNormal="100" workbookViewId="0">
      <selection activeCell="B9" sqref="B9"/>
    </sheetView>
  </sheetViews>
  <sheetFormatPr defaultRowHeight="15"/>
  <cols>
    <col min="2" max="2" width="24.5703125" bestFit="1" customWidth="1"/>
    <col min="3" max="3" width="14.85546875" customWidth="1"/>
    <col min="4" max="4" width="17.42578125" customWidth="1"/>
    <col min="5" max="5" width="10.28515625" customWidth="1"/>
    <col min="7" max="7" width="11.42578125" customWidth="1"/>
    <col min="8" max="8" width="10.85546875" customWidth="1"/>
  </cols>
  <sheetData>
    <row r="1" spans="1:13" ht="23.25">
      <c r="A1" s="36" t="str">
        <f>'Operating Budget'!A1</f>
        <v>Naples Bay Yacht Stowage Condo Association, Inc. 2021 Adopted Budget</v>
      </c>
      <c r="B1" s="36"/>
      <c r="C1" s="36"/>
      <c r="D1" s="36"/>
      <c r="E1" s="36"/>
      <c r="F1" s="36"/>
      <c r="G1" s="36"/>
      <c r="H1" s="36"/>
      <c r="I1" s="32"/>
      <c r="J1" s="32"/>
      <c r="K1" s="32"/>
      <c r="L1" s="32"/>
      <c r="M1" s="32"/>
    </row>
    <row r="2" spans="1:13" ht="23.25">
      <c r="A2" s="36" t="s">
        <v>101</v>
      </c>
      <c r="B2" s="36"/>
      <c r="C2" s="36"/>
      <c r="D2" s="36"/>
      <c r="E2" s="36"/>
      <c r="F2" s="36"/>
      <c r="G2" s="36"/>
      <c r="H2" s="36"/>
      <c r="I2" s="32"/>
      <c r="J2" s="32"/>
      <c r="K2" s="32"/>
      <c r="L2" s="32"/>
      <c r="M2" s="32"/>
    </row>
    <row r="4" spans="1:13" ht="60">
      <c r="A4" s="18" t="s">
        <v>102</v>
      </c>
      <c r="B4" s="18" t="s">
        <v>103</v>
      </c>
      <c r="C4" s="18" t="s">
        <v>104</v>
      </c>
      <c r="D4" s="18" t="str">
        <f>"Estimated Fund Balance Y/E "&amp;'Operating Budget'!O1</f>
        <v>Estimated Fund Balance Y/E 2020</v>
      </c>
      <c r="E4" s="18" t="s">
        <v>105</v>
      </c>
      <c r="F4" s="18" t="s">
        <v>106</v>
      </c>
      <c r="G4" s="18" t="s">
        <v>107</v>
      </c>
      <c r="H4" s="18" t="str">
        <f>'Operating Budget'!O2&amp;" Required Funding"</f>
        <v>2021 Required Funding</v>
      </c>
      <c r="I4" s="18"/>
      <c r="J4" s="32"/>
      <c r="K4" s="32"/>
      <c r="L4" s="32"/>
      <c r="M4" s="32"/>
    </row>
    <row r="5" spans="1:13">
      <c r="A5" s="21">
        <v>319.01</v>
      </c>
      <c r="B5" s="20" t="s">
        <v>108</v>
      </c>
      <c r="C5" s="22">
        <f>30000</f>
        <v>30000</v>
      </c>
      <c r="D5" s="22">
        <v>26001.65</v>
      </c>
      <c r="E5" s="22">
        <f t="shared" ref="E5:E12" si="0">C5-D5</f>
        <v>3998.3499999999985</v>
      </c>
      <c r="F5" s="20">
        <v>8</v>
      </c>
      <c r="G5" s="20">
        <v>3</v>
      </c>
      <c r="H5" s="22">
        <f t="shared" ref="H5:H12" si="1">(C5-D5)/G5</f>
        <v>1332.7833333333328</v>
      </c>
      <c r="I5" s="32"/>
      <c r="J5" s="32"/>
      <c r="K5" s="32"/>
      <c r="L5" s="32"/>
      <c r="M5" s="24"/>
    </row>
    <row r="6" spans="1:13">
      <c r="A6" s="21">
        <v>319.02</v>
      </c>
      <c r="B6" s="20" t="s">
        <v>109</v>
      </c>
      <c r="C6" s="22">
        <v>80000</v>
      </c>
      <c r="D6" s="22">
        <v>34071.82</v>
      </c>
      <c r="E6" s="22">
        <f t="shared" si="0"/>
        <v>45928.18</v>
      </c>
      <c r="F6" s="20">
        <v>23</v>
      </c>
      <c r="G6" s="20">
        <v>7</v>
      </c>
      <c r="H6" s="22">
        <f t="shared" si="1"/>
        <v>6561.1685714285713</v>
      </c>
      <c r="I6" s="32"/>
      <c r="J6" s="32"/>
      <c r="K6" s="32"/>
      <c r="L6" s="32"/>
      <c r="M6" s="32"/>
    </row>
    <row r="7" spans="1:13">
      <c r="A7" s="21">
        <v>319.02999999999997</v>
      </c>
      <c r="B7" s="20" t="s">
        <v>110</v>
      </c>
      <c r="C7" s="22">
        <v>376300</v>
      </c>
      <c r="D7" s="22">
        <v>154096.68</v>
      </c>
      <c r="E7" s="22">
        <f t="shared" si="0"/>
        <v>222203.32</v>
      </c>
      <c r="F7" s="20">
        <v>15</v>
      </c>
      <c r="G7" s="20">
        <v>9</v>
      </c>
      <c r="H7" s="22">
        <f t="shared" si="1"/>
        <v>24689.257777777777</v>
      </c>
      <c r="I7" s="32"/>
      <c r="J7" s="32"/>
      <c r="K7" s="32"/>
      <c r="L7" s="32"/>
      <c r="M7" s="32"/>
    </row>
    <row r="8" spans="1:13">
      <c r="A8" s="18">
        <v>319.04000000000002</v>
      </c>
      <c r="B8" s="19" t="s">
        <v>111</v>
      </c>
      <c r="C8" s="23">
        <v>25000</v>
      </c>
      <c r="D8" s="23">
        <v>26416.16</v>
      </c>
      <c r="E8" s="22">
        <f t="shared" si="0"/>
        <v>-1416.1599999999999</v>
      </c>
      <c r="F8" s="19">
        <v>7</v>
      </c>
      <c r="G8" s="19">
        <v>1</v>
      </c>
      <c r="H8" s="22">
        <f t="shared" si="1"/>
        <v>-1416.1599999999999</v>
      </c>
      <c r="I8" s="18"/>
      <c r="J8" s="32"/>
      <c r="K8" s="32"/>
      <c r="L8" s="32"/>
      <c r="M8" s="32"/>
    </row>
    <row r="9" spans="1:13">
      <c r="A9" s="21">
        <v>319.05</v>
      </c>
      <c r="B9" s="20" t="s">
        <v>112</v>
      </c>
      <c r="C9" s="22">
        <v>0</v>
      </c>
      <c r="D9" s="22">
        <v>0</v>
      </c>
      <c r="E9" s="22">
        <f t="shared" si="0"/>
        <v>0</v>
      </c>
      <c r="F9" s="20">
        <v>1</v>
      </c>
      <c r="G9" s="20">
        <v>1</v>
      </c>
      <c r="H9" s="22">
        <f t="shared" si="1"/>
        <v>0</v>
      </c>
      <c r="I9" s="32"/>
      <c r="J9" s="32"/>
      <c r="K9" s="32"/>
      <c r="L9" s="32"/>
      <c r="M9" s="32"/>
    </row>
    <row r="10" spans="1:13">
      <c r="A10" s="21">
        <v>319.06</v>
      </c>
      <c r="B10" s="20" t="s">
        <v>113</v>
      </c>
      <c r="C10" s="22">
        <v>500000</v>
      </c>
      <c r="D10" s="22">
        <v>41201.339999999997</v>
      </c>
      <c r="E10" s="22">
        <f t="shared" si="0"/>
        <v>458798.66000000003</v>
      </c>
      <c r="F10" s="20">
        <v>35</v>
      </c>
      <c r="G10" s="20">
        <v>32</v>
      </c>
      <c r="H10" s="22">
        <f t="shared" si="1"/>
        <v>14337.458125000001</v>
      </c>
      <c r="I10" s="32"/>
      <c r="J10" s="32"/>
      <c r="K10" s="32"/>
      <c r="L10" s="32"/>
      <c r="M10" s="32"/>
    </row>
    <row r="11" spans="1:13">
      <c r="A11" s="21">
        <v>319.07</v>
      </c>
      <c r="B11" s="20" t="s">
        <v>114</v>
      </c>
      <c r="C11" s="22">
        <v>10071</v>
      </c>
      <c r="D11" s="22">
        <v>10070.879999999999</v>
      </c>
      <c r="E11" s="22">
        <f t="shared" si="0"/>
        <v>0.12000000000080036</v>
      </c>
      <c r="F11" s="20">
        <v>10</v>
      </c>
      <c r="G11" s="20">
        <v>1</v>
      </c>
      <c r="H11" s="22">
        <f t="shared" si="1"/>
        <v>0.12000000000080036</v>
      </c>
      <c r="I11" s="32"/>
      <c r="J11" s="32"/>
      <c r="K11" s="32"/>
      <c r="L11" s="32"/>
      <c r="M11" s="32"/>
    </row>
    <row r="12" spans="1:13">
      <c r="A12" s="21">
        <v>319.08</v>
      </c>
      <c r="B12" s="20" t="s">
        <v>115</v>
      </c>
      <c r="C12" s="22">
        <v>10000</v>
      </c>
      <c r="D12" s="22">
        <v>3902.62</v>
      </c>
      <c r="E12" s="22">
        <f t="shared" si="0"/>
        <v>6097.38</v>
      </c>
      <c r="F12" s="20">
        <v>12</v>
      </c>
      <c r="G12" s="20">
        <v>7</v>
      </c>
      <c r="H12" s="22">
        <f t="shared" si="1"/>
        <v>871.0542857142857</v>
      </c>
      <c r="I12" s="32"/>
      <c r="J12" s="32"/>
      <c r="K12" s="32"/>
      <c r="L12" s="32"/>
      <c r="M12" s="32"/>
    </row>
    <row r="13" spans="1:13">
      <c r="A13" s="21">
        <v>319.99</v>
      </c>
      <c r="B13" s="32" t="s">
        <v>116</v>
      </c>
      <c r="C13" s="24">
        <v>0</v>
      </c>
      <c r="D13" s="24">
        <v>19.2</v>
      </c>
      <c r="E13" s="24"/>
      <c r="F13" s="32"/>
      <c r="G13" s="32"/>
      <c r="H13" s="24"/>
      <c r="I13" s="32"/>
      <c r="J13" s="32"/>
      <c r="K13" s="32"/>
      <c r="L13" s="32"/>
      <c r="M13" s="32"/>
    </row>
    <row r="15" spans="1:13">
      <c r="A15" s="32" t="s">
        <v>100</v>
      </c>
      <c r="B15" s="32"/>
      <c r="C15" s="24">
        <f>SUM(C5:C14)</f>
        <v>1031371</v>
      </c>
      <c r="D15" s="24">
        <f>SUM(D5:D14)</f>
        <v>295780.35000000003</v>
      </c>
      <c r="E15" s="24">
        <f>SUM(E5:E14)</f>
        <v>735609.85000000009</v>
      </c>
      <c r="F15" s="24"/>
      <c r="G15" s="24"/>
      <c r="H15" s="24">
        <f>SUM(H5:H14)</f>
        <v>46375.68209325397</v>
      </c>
      <c r="I15" s="32"/>
      <c r="J15" s="32"/>
      <c r="K15" s="32"/>
      <c r="L15" s="32"/>
      <c r="M15" s="32"/>
    </row>
    <row r="19" spans="1:8">
      <c r="A19" s="32" t="s">
        <v>117</v>
      </c>
      <c r="B19" s="32" t="s">
        <v>118</v>
      </c>
      <c r="C19" s="32"/>
      <c r="D19" s="32"/>
      <c r="E19" s="32"/>
      <c r="F19" s="32"/>
      <c r="G19" s="32"/>
      <c r="H19" s="32"/>
    </row>
    <row r="20" spans="1:8">
      <c r="A20" s="32" t="s">
        <v>119</v>
      </c>
      <c r="B20" s="32" t="s">
        <v>120</v>
      </c>
      <c r="C20" s="32"/>
      <c r="D20" s="32"/>
      <c r="E20" s="32"/>
      <c r="F20" s="32"/>
      <c r="G20" s="32"/>
      <c r="H20" s="32"/>
    </row>
    <row r="22" spans="1:8" ht="88.5" customHeight="1">
      <c r="A22" s="37" t="s">
        <v>121</v>
      </c>
      <c r="B22" s="37"/>
      <c r="C22" s="37"/>
      <c r="D22" s="37"/>
      <c r="E22" s="37"/>
      <c r="F22" s="37"/>
      <c r="G22" s="37"/>
      <c r="H22" s="37"/>
    </row>
  </sheetData>
  <mergeCells count="3">
    <mergeCell ref="A1:H1"/>
    <mergeCell ref="A2:H2"/>
    <mergeCell ref="A22:H22"/>
  </mergeCells>
  <pageMargins left="0.7" right="0.7" top="0.75" bottom="0.75" header="0.3" footer="0.3"/>
  <pageSetup scale="8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33A8-F07A-4107-B8B3-30576233065D}">
  <dimension ref="A2:L10"/>
  <sheetViews>
    <sheetView topLeftCell="B1" workbookViewId="0">
      <selection activeCell="B5" sqref="B5"/>
    </sheetView>
  </sheetViews>
  <sheetFormatPr defaultRowHeight="15"/>
  <cols>
    <col min="1" max="1" width="18.28515625" bestFit="1" customWidth="1"/>
    <col min="2" max="2" width="18.28515625" customWidth="1"/>
    <col min="3" max="3" width="18.7109375" bestFit="1" customWidth="1"/>
    <col min="4" max="4" width="18.7109375" style="32" customWidth="1"/>
    <col min="5" max="5" width="15.28515625" bestFit="1" customWidth="1"/>
    <col min="6" max="6" width="13.28515625" bestFit="1" customWidth="1"/>
    <col min="7" max="7" width="12.5703125" bestFit="1" customWidth="1"/>
    <col min="8" max="8" width="9.7109375" bestFit="1" customWidth="1"/>
    <col min="9" max="9" width="18.5703125" bestFit="1" customWidth="1"/>
    <col min="10" max="10" width="11.5703125" bestFit="1" customWidth="1"/>
  </cols>
  <sheetData>
    <row r="2" spans="1:12">
      <c r="A2" s="32"/>
      <c r="B2" s="32" t="s">
        <v>122</v>
      </c>
      <c r="C2" s="32" t="s">
        <v>123</v>
      </c>
      <c r="D2" s="32" t="s">
        <v>124</v>
      </c>
      <c r="E2" s="32" t="s">
        <v>125</v>
      </c>
      <c r="F2" s="32" t="s">
        <v>126</v>
      </c>
      <c r="G2" s="32" t="s">
        <v>127</v>
      </c>
      <c r="H2" s="32" t="s">
        <v>128</v>
      </c>
      <c r="I2" s="32" t="s">
        <v>129</v>
      </c>
      <c r="J2" s="32" t="s">
        <v>130</v>
      </c>
      <c r="K2" s="32" t="s">
        <v>131</v>
      </c>
      <c r="L2" s="32" t="s">
        <v>132</v>
      </c>
    </row>
    <row r="3" spans="1:12">
      <c r="A3" s="32" t="s">
        <v>133</v>
      </c>
      <c r="B3" s="16">
        <v>0.1</v>
      </c>
      <c r="C3" s="4">
        <v>20</v>
      </c>
      <c r="D3" s="4">
        <f>(C3*B3)+C3</f>
        <v>22</v>
      </c>
      <c r="E3" s="9">
        <v>40</v>
      </c>
      <c r="F3" s="9">
        <f>(D3*E3)*52</f>
        <v>45760</v>
      </c>
      <c r="G3" s="9">
        <v>15</v>
      </c>
      <c r="H3" s="9">
        <f>(D3*1.5*G3)</f>
        <v>495</v>
      </c>
      <c r="I3" s="9">
        <f>F3+H3</f>
        <v>46255</v>
      </c>
      <c r="J3" s="9">
        <f>I3*0.0765</f>
        <v>3538.5074999999997</v>
      </c>
      <c r="K3" s="4">
        <v>42</v>
      </c>
      <c r="L3" s="4">
        <v>15</v>
      </c>
    </row>
    <row r="4" spans="1:12">
      <c r="A4" s="32" t="s">
        <v>134</v>
      </c>
      <c r="B4" s="16">
        <v>0.105</v>
      </c>
      <c r="C4" s="4">
        <v>18</v>
      </c>
      <c r="D4" s="4">
        <f t="shared" ref="D4:D6" si="0">(C4*B4)+C4</f>
        <v>19.89</v>
      </c>
      <c r="E4" s="9">
        <v>40</v>
      </c>
      <c r="F4" s="9">
        <f t="shared" ref="F4:F6" si="1">(D4*E4)*52</f>
        <v>41371.200000000004</v>
      </c>
      <c r="G4" s="9">
        <v>15</v>
      </c>
      <c r="H4" s="9">
        <f t="shared" ref="H4:H6" si="2">(D4*1.5*G4)</f>
        <v>447.52500000000003</v>
      </c>
      <c r="I4" s="9">
        <f t="shared" ref="I4:I6" si="3">F4+H4</f>
        <v>41818.725000000006</v>
      </c>
      <c r="J4" s="9">
        <f t="shared" ref="J4:J8" si="4">I4*0.0765</f>
        <v>3199.1324625000002</v>
      </c>
      <c r="K4" s="4">
        <v>42</v>
      </c>
      <c r="L4" s="4">
        <v>15</v>
      </c>
    </row>
    <row r="5" spans="1:12">
      <c r="A5" s="32" t="s">
        <v>135</v>
      </c>
      <c r="B5" s="16">
        <v>0.1</v>
      </c>
      <c r="C5" s="4">
        <v>20</v>
      </c>
      <c r="D5" s="4">
        <f t="shared" si="0"/>
        <v>22</v>
      </c>
      <c r="E5" s="9">
        <v>40</v>
      </c>
      <c r="F5" s="9">
        <f t="shared" si="1"/>
        <v>45760</v>
      </c>
      <c r="G5" s="9">
        <v>15</v>
      </c>
      <c r="H5" s="9">
        <f t="shared" si="2"/>
        <v>495</v>
      </c>
      <c r="I5" s="9">
        <f t="shared" si="3"/>
        <v>46255</v>
      </c>
      <c r="J5" s="9">
        <f t="shared" si="4"/>
        <v>3538.5074999999997</v>
      </c>
      <c r="K5" s="4">
        <v>42</v>
      </c>
      <c r="L5" s="4">
        <v>15</v>
      </c>
    </row>
    <row r="6" spans="1:12">
      <c r="A6" s="32" t="s">
        <v>136</v>
      </c>
      <c r="B6" s="16">
        <v>0</v>
      </c>
      <c r="C6" s="4">
        <v>15</v>
      </c>
      <c r="D6" s="4">
        <f t="shared" si="0"/>
        <v>15</v>
      </c>
      <c r="E6" s="9">
        <v>40</v>
      </c>
      <c r="F6" s="9">
        <f t="shared" si="1"/>
        <v>31200</v>
      </c>
      <c r="G6" s="9">
        <v>15</v>
      </c>
      <c r="H6" s="9">
        <f t="shared" si="2"/>
        <v>337.5</v>
      </c>
      <c r="I6" s="9">
        <f t="shared" si="3"/>
        <v>31537.5</v>
      </c>
      <c r="J6" s="9">
        <f t="shared" si="4"/>
        <v>2412.6187500000001</v>
      </c>
      <c r="K6" s="4">
        <v>42</v>
      </c>
      <c r="L6" s="4">
        <v>15</v>
      </c>
    </row>
    <row r="7" spans="1:12">
      <c r="A7" s="32"/>
      <c r="B7" s="32"/>
      <c r="C7" s="9"/>
      <c r="D7" s="9"/>
      <c r="E7" s="9"/>
      <c r="F7" s="9"/>
      <c r="G7" s="9"/>
      <c r="H7" s="9"/>
      <c r="I7" s="9"/>
      <c r="J7" s="9"/>
      <c r="K7" s="4"/>
      <c r="L7" s="4"/>
    </row>
    <row r="8" spans="1:12">
      <c r="A8" s="32" t="s">
        <v>137</v>
      </c>
      <c r="B8" s="16">
        <v>0</v>
      </c>
      <c r="C8" s="4">
        <v>85000</v>
      </c>
      <c r="D8" s="4"/>
      <c r="E8" s="9">
        <v>40</v>
      </c>
      <c r="F8" s="9"/>
      <c r="G8" s="9"/>
      <c r="H8" s="9"/>
      <c r="I8" s="9">
        <f>C8*B8+C8</f>
        <v>85000</v>
      </c>
      <c r="J8" s="9">
        <f t="shared" si="4"/>
        <v>6502.5</v>
      </c>
      <c r="K8" s="4">
        <v>42</v>
      </c>
      <c r="L8" s="4">
        <v>15</v>
      </c>
    </row>
    <row r="9" spans="1:12">
      <c r="A9" s="32"/>
      <c r="B9" s="32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32" t="s">
        <v>138</v>
      </c>
      <c r="B10" s="32"/>
      <c r="C10" s="9"/>
      <c r="D10" s="9"/>
      <c r="E10" s="9"/>
      <c r="F10" s="9"/>
      <c r="G10" s="9"/>
      <c r="H10" s="9"/>
      <c r="I10" s="9">
        <f>SUM(I3:I9)</f>
        <v>250866.22500000001</v>
      </c>
      <c r="J10" s="9">
        <f>SUM(J3:J9)</f>
        <v>19191.266212499999</v>
      </c>
      <c r="K10" s="9">
        <f t="shared" ref="K10:L10" si="5">SUM(K3:K9)</f>
        <v>210</v>
      </c>
      <c r="L10" s="9">
        <f t="shared" si="5"/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P GAFFNEY</dc:creator>
  <cp:keywords/>
  <dc:description/>
  <cp:lastModifiedBy>kevin gaffney</cp:lastModifiedBy>
  <cp:revision/>
  <dcterms:created xsi:type="dcterms:W3CDTF">2020-09-30T14:12:24Z</dcterms:created>
  <dcterms:modified xsi:type="dcterms:W3CDTF">2020-12-18T15:13:19Z</dcterms:modified>
  <cp:category/>
  <cp:contentStatus/>
</cp:coreProperties>
</file>